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5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6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7.xml" ContentType="application/vnd.openxmlformats-officedocument.spreadsheetml.work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worksheets/sheet8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9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lunet-my.sharepoint.com/personal/ttat_lunet_lboro_ac_uk/Documents/Thesis/"/>
    </mc:Choice>
  </mc:AlternateContent>
  <xr:revisionPtr revIDLastSave="226" documentId="11_10862D47CDB3BEB46362A78F43930A9133433877" xr6:coauthVersionLast="46" xr6:coauthVersionMax="46" xr10:uidLastSave="{09A0F69E-D1E7-4582-842C-B1EBAF0C9661}"/>
  <bookViews>
    <workbookView xWindow="28680" yWindow="-1935" windowWidth="29040" windowHeight="17640" tabRatio="873" firstSheet="13" activeTab="19" xr2:uid="{00000000-000D-0000-FFFF-FFFF00000000}"/>
  </bookViews>
  <sheets>
    <sheet name="FC chart" sheetId="28" r:id="rId1"/>
    <sheet name="Fuel Cell" sheetId="31" r:id="rId2"/>
    <sheet name="All electric chart" sheetId="14" r:id="rId3"/>
    <sheet name="All electric and FC" sheetId="13" r:id="rId4"/>
    <sheet name="Unmanned chart" sheetId="15" r:id="rId5"/>
    <sheet name="Unmanned" sheetId="12" r:id="rId6"/>
    <sheet name="Bomber and surveillance chart" sheetId="16" r:id="rId7"/>
    <sheet name="Bomber and surveillance" sheetId="1" r:id="rId8"/>
    <sheet name="Fighter and trainer jet chart" sheetId="17" r:id="rId9"/>
    <sheet name="Fighter and trainer prop chart" sheetId="18" r:id="rId10"/>
    <sheet name="Fighter and trainer" sheetId="2" r:id="rId11"/>
    <sheet name="Transport jet chart" sheetId="19" r:id="rId12"/>
    <sheet name="Transport prop chart" sheetId="20" r:id="rId13"/>
    <sheet name="Transport" sheetId="4" r:id="rId14"/>
    <sheet name="Airliner freighter jet chart" sheetId="21" r:id="rId15"/>
    <sheet name="Airliner freighter prop chart" sheetId="22" r:id="rId16"/>
    <sheet name="Airliner and freighter" sheetId="5" r:id="rId17"/>
    <sheet name="Business jet chart" sheetId="23" r:id="rId18"/>
    <sheet name="Business prop chart" sheetId="24" r:id="rId19"/>
    <sheet name="Business" sheetId="6" r:id="rId20"/>
    <sheet name="Utility chart" sheetId="25" r:id="rId21"/>
    <sheet name="Utility" sheetId="7" r:id="rId22"/>
    <sheet name="Amphibian chart" sheetId="27" r:id="rId23"/>
    <sheet name="Amphibian" sheetId="8" r:id="rId24"/>
    <sheet name="Lightplane chart" sheetId="26" r:id="rId25"/>
    <sheet name="Lightplane" sheetId="9" r:id="rId26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8" i="5" l="1"/>
  <c r="K22" i="5"/>
  <c r="K21" i="5"/>
  <c r="I22" i="5"/>
  <c r="I21" i="5"/>
  <c r="I20" i="5"/>
  <c r="K27" i="5"/>
  <c r="K28" i="5"/>
  <c r="K29" i="5"/>
  <c r="K26" i="5"/>
  <c r="I29" i="5"/>
  <c r="I28" i="5"/>
  <c r="I27" i="5"/>
  <c r="I26" i="5"/>
  <c r="J50" i="5"/>
  <c r="I43" i="5"/>
  <c r="K3" i="5"/>
  <c r="I3" i="5"/>
  <c r="K4" i="5"/>
  <c r="I4" i="5"/>
  <c r="K9" i="5"/>
  <c r="K8" i="5"/>
  <c r="I13" i="5"/>
  <c r="I10" i="4"/>
  <c r="J31" i="4"/>
  <c r="J30" i="4"/>
  <c r="J29" i="4"/>
  <c r="J28" i="4"/>
  <c r="J27" i="4"/>
  <c r="I9" i="4"/>
  <c r="I36" i="2"/>
  <c r="K51" i="2"/>
  <c r="K35" i="2"/>
  <c r="I33" i="2"/>
  <c r="L5" i="2"/>
  <c r="L8" i="2"/>
  <c r="C6" i="2"/>
  <c r="K29" i="2"/>
  <c r="I20" i="1"/>
  <c r="J19" i="1"/>
  <c r="I19" i="1"/>
  <c r="I18" i="1"/>
  <c r="J30" i="12"/>
  <c r="J17" i="1"/>
  <c r="L16" i="5"/>
  <c r="K113" i="9"/>
  <c r="K111" i="9"/>
  <c r="K110" i="9"/>
  <c r="K104" i="9"/>
  <c r="K103" i="9"/>
  <c r="K97" i="9"/>
  <c r="K93" i="9"/>
  <c r="K92" i="9"/>
  <c r="K90" i="9"/>
  <c r="K84" i="9"/>
  <c r="K81" i="9"/>
  <c r="K80" i="9"/>
  <c r="K77" i="9"/>
  <c r="K69" i="9"/>
  <c r="K63" i="9"/>
  <c r="K62" i="9"/>
  <c r="K61" i="9"/>
  <c r="K60" i="9"/>
  <c r="K59" i="9"/>
  <c r="K58" i="9"/>
  <c r="K57" i="9"/>
  <c r="K56" i="9"/>
  <c r="K54" i="9"/>
  <c r="K52" i="9"/>
  <c r="K48" i="9"/>
  <c r="K45" i="9"/>
  <c r="K43" i="9"/>
  <c r="K40" i="9"/>
  <c r="K31" i="9"/>
  <c r="K30" i="9"/>
  <c r="K33" i="8"/>
  <c r="K32" i="8"/>
  <c r="K29" i="8"/>
  <c r="J25" i="8"/>
  <c r="J24" i="8"/>
  <c r="K22" i="8"/>
  <c r="J22" i="8"/>
  <c r="K50" i="7"/>
  <c r="K49" i="7"/>
  <c r="K47" i="7"/>
  <c r="K46" i="7"/>
  <c r="K45" i="7"/>
  <c r="K44" i="7"/>
  <c r="K43" i="7"/>
  <c r="K41" i="7"/>
  <c r="J41" i="7"/>
  <c r="K40" i="7"/>
  <c r="J40" i="7"/>
  <c r="J38" i="7"/>
  <c r="J36" i="7"/>
  <c r="J34" i="7"/>
  <c r="J33" i="7"/>
  <c r="K32" i="7"/>
  <c r="J31" i="7"/>
  <c r="K30" i="7"/>
  <c r="J30" i="7"/>
  <c r="K29" i="7"/>
  <c r="J29" i="7"/>
  <c r="K28" i="7"/>
  <c r="J28" i="7"/>
  <c r="K25" i="7"/>
  <c r="K24" i="7"/>
  <c r="J24" i="7"/>
  <c r="K23" i="7"/>
  <c r="K67" i="6"/>
  <c r="K66" i="6"/>
  <c r="J65" i="6"/>
  <c r="K64" i="6"/>
  <c r="K63" i="6"/>
  <c r="K56" i="6"/>
  <c r="K55" i="6"/>
  <c r="I55" i="6"/>
  <c r="K54" i="6"/>
  <c r="I54" i="6"/>
  <c r="K53" i="6"/>
  <c r="I53" i="6"/>
  <c r="I52" i="6"/>
  <c r="I50" i="6"/>
  <c r="K49" i="6"/>
  <c r="I49" i="6"/>
  <c r="I48" i="6"/>
  <c r="K47" i="6"/>
  <c r="I47" i="6"/>
  <c r="K46" i="6"/>
  <c r="I46" i="6"/>
  <c r="K45" i="6"/>
  <c r="I45" i="6"/>
  <c r="I44" i="6"/>
  <c r="I43" i="6"/>
  <c r="K41" i="6"/>
  <c r="I41" i="6"/>
  <c r="K42" i="6"/>
  <c r="K40" i="6"/>
  <c r="I42" i="6"/>
  <c r="I40" i="6"/>
  <c r="K39" i="6"/>
  <c r="I39" i="6"/>
  <c r="K62" i="6"/>
  <c r="J62" i="6"/>
  <c r="I36" i="6"/>
  <c r="I34" i="6"/>
  <c r="I33" i="6"/>
  <c r="K61" i="6"/>
  <c r="I32" i="6"/>
  <c r="K31" i="6"/>
  <c r="I31" i="6"/>
  <c r="I30" i="6"/>
  <c r="K28" i="6"/>
  <c r="I28" i="6"/>
  <c r="K27" i="6"/>
  <c r="I27" i="6"/>
  <c r="I26" i="6"/>
  <c r="K25" i="6"/>
  <c r="I25" i="6"/>
  <c r="K24" i="6"/>
  <c r="I24" i="6"/>
  <c r="K21" i="6"/>
  <c r="I21" i="6"/>
  <c r="I20" i="6"/>
  <c r="I19" i="6"/>
  <c r="I18" i="6"/>
  <c r="I17" i="6"/>
  <c r="I23" i="5"/>
  <c r="I41" i="5"/>
  <c r="I40" i="5"/>
  <c r="I39" i="5"/>
  <c r="J49" i="5"/>
  <c r="I14" i="5"/>
  <c r="I15" i="5"/>
  <c r="I38" i="5"/>
  <c r="K37" i="5"/>
  <c r="I37" i="5"/>
  <c r="J48" i="5"/>
  <c r="K36" i="5"/>
  <c r="I36" i="5"/>
  <c r="I35" i="5"/>
  <c r="I34" i="5"/>
  <c r="I7" i="4"/>
  <c r="J26" i="4"/>
  <c r="I6" i="4"/>
  <c r="J25" i="4"/>
  <c r="K24" i="4"/>
  <c r="J24" i="4"/>
  <c r="I5" i="4"/>
  <c r="J23" i="4"/>
  <c r="K22" i="4"/>
  <c r="J22" i="4"/>
  <c r="J21" i="4"/>
  <c r="K4" i="4"/>
  <c r="I4" i="4"/>
  <c r="I28" i="2"/>
  <c r="K44" i="2"/>
  <c r="K27" i="2"/>
  <c r="C27" i="2"/>
  <c r="K26" i="2"/>
  <c r="C26" i="2"/>
  <c r="I25" i="2"/>
  <c r="I24" i="2"/>
  <c r="I23" i="2"/>
  <c r="K42" i="2"/>
  <c r="K21" i="2"/>
  <c r="I21" i="2"/>
  <c r="C21" i="2"/>
  <c r="I19" i="2"/>
  <c r="I18" i="2"/>
  <c r="J16" i="1"/>
  <c r="J15" i="1"/>
  <c r="J14" i="1"/>
  <c r="I14" i="1"/>
  <c r="I13" i="1"/>
  <c r="J12" i="1"/>
  <c r="I12" i="1"/>
  <c r="J11" i="1"/>
  <c r="I11" i="1"/>
  <c r="J10" i="1"/>
  <c r="J9" i="1"/>
  <c r="I9" i="1"/>
</calcChain>
</file>

<file path=xl/sharedStrings.xml><?xml version="1.0" encoding="utf-8"?>
<sst xmlns="http://schemas.openxmlformats.org/spreadsheetml/2006/main" count="641" uniqueCount="520">
  <si>
    <t>Aircraft</t>
  </si>
  <si>
    <t>Max level speed (km/hr)</t>
  </si>
  <si>
    <t>Range (km)</t>
  </si>
  <si>
    <t>Wingspan (m)</t>
  </si>
  <si>
    <t>Length (m)</t>
  </si>
  <si>
    <t>Height (m)</t>
  </si>
  <si>
    <t>MTOW (kg)</t>
  </si>
  <si>
    <t>Propulsive power (kW)</t>
  </si>
  <si>
    <t>Electrical generation (kW)</t>
  </si>
  <si>
    <t>Airbus e-Fan</t>
  </si>
  <si>
    <t>DLR (Lange) Antares DLR-H2</t>
  </si>
  <si>
    <t>DLR HY4</t>
  </si>
  <si>
    <t>Liaoning Rui Xiang RX1E</t>
  </si>
  <si>
    <t>Equator P2 Excursion</t>
  </si>
  <si>
    <t>PC-aero Elektra One</t>
  </si>
  <si>
    <t>PC-Aero SolarWorld e-One</t>
  </si>
  <si>
    <t>GreenWing E-Spyder</t>
  </si>
  <si>
    <t>e-Go e-Go</t>
  </si>
  <si>
    <t>EuroSport Crossover</t>
  </si>
  <si>
    <t>Certified altitude (m)</t>
  </si>
  <si>
    <t>Max thrust (kN)</t>
  </si>
  <si>
    <t>GA-ASI Altair</t>
  </si>
  <si>
    <t>GA-ASI MQ-9 Reaper</t>
  </si>
  <si>
    <t>GA-ASI I-Gnat</t>
  </si>
  <si>
    <t>GA-ASI MQ-1B Predator</t>
  </si>
  <si>
    <t>IAI Heron 1</t>
  </si>
  <si>
    <t>Sagem Patroller</t>
  </si>
  <si>
    <t>TAI Anka</t>
  </si>
  <si>
    <t>CAC Wing-Loong</t>
  </si>
  <si>
    <t>Cyber Technology CyberEye II</t>
  </si>
  <si>
    <t>BAE Systems HERTI-1A</t>
  </si>
  <si>
    <t>AVIC Nimble Loong</t>
  </si>
  <si>
    <t>Trextron Unmanned Systems RQ-7A Shadow 200</t>
  </si>
  <si>
    <t>VTUL Sokol</t>
  </si>
  <si>
    <t>Airbus Tracker</t>
  </si>
  <si>
    <t>Blue Bear Blackstart</t>
  </si>
  <si>
    <t>Thales Spy Arrow</t>
  </si>
  <si>
    <t>Aeronautics Aerostar</t>
  </si>
  <si>
    <t>Elbit Systems Hermes 450</t>
  </si>
  <si>
    <t>ALIT CH-91</t>
  </si>
  <si>
    <t>Arcturus T-20</t>
  </si>
  <si>
    <t>Lipan M3</t>
  </si>
  <si>
    <t>Nostromo Yarara</t>
  </si>
  <si>
    <t>Sensintel Manta</t>
  </si>
  <si>
    <t>V-TOL Aerospace Warrigal</t>
  </si>
  <si>
    <t>ALIT CH-92</t>
  </si>
  <si>
    <t>Northrop Grumman RQ-5 Hunter II</t>
  </si>
  <si>
    <t>Boeing-Insitu ScanEagle</t>
  </si>
  <si>
    <t>MLB Bat 4</t>
  </si>
  <si>
    <t>Airbus military C295 MPA/ASW</t>
  </si>
  <si>
    <t>Northrop Grumman E-2C Hawkeye</t>
  </si>
  <si>
    <t>BNG BN2T-4S Defender 4000</t>
  </si>
  <si>
    <t>Aerosud AHRLAC</t>
  </si>
  <si>
    <t>Tecnam P2006 MMA</t>
  </si>
  <si>
    <t>Northrop Grumman R02 Firebird</t>
  </si>
  <si>
    <t>SAA SB7L-360 Seeker</t>
  </si>
  <si>
    <t>Sukhoi Su-27</t>
  </si>
  <si>
    <t>Sukhoi Su-30M</t>
  </si>
  <si>
    <t>Boeing F-15E Eagle</t>
  </si>
  <si>
    <t>Boeing F/A-18E/F Super Hornet</t>
  </si>
  <si>
    <t>Eurofighter Typhoon</t>
  </si>
  <si>
    <t>Lockheed Martin F-16 Fighting Falcon</t>
  </si>
  <si>
    <t>Lockheed Martin F-35B Lightning II</t>
  </si>
  <si>
    <t>SAC Shen Fei</t>
  </si>
  <si>
    <t>CAC FC-1 Xiaolong</t>
  </si>
  <si>
    <t>Sukhoi Su-34</t>
  </si>
  <si>
    <t>XAC JH-7</t>
  </si>
  <si>
    <t>GAIG JL-9</t>
  </si>
  <si>
    <t>Alenia Aermacchi M-346 Master</t>
  </si>
  <si>
    <t>BAE Systems Hawk T</t>
  </si>
  <si>
    <t>FAdeA IA-63 Pampa II</t>
  </si>
  <si>
    <t>Beechcraft (3000) T-6 Texan II</t>
  </si>
  <si>
    <t>Grob G 120TP</t>
  </si>
  <si>
    <t>Utva Lasta 95</t>
  </si>
  <si>
    <t>Yakovlev/HAIC Yak-152/L-7</t>
  </si>
  <si>
    <t>Airbus A330 MRTT</t>
  </si>
  <si>
    <t>Boeing C-17A Globemaster III</t>
  </si>
  <si>
    <t>Airbus A400M Atlas</t>
  </si>
  <si>
    <t>Antonov An-70</t>
  </si>
  <si>
    <t>Lockheed Martin C-130J Super Hercules</t>
  </si>
  <si>
    <t>Airbus C-295M</t>
  </si>
  <si>
    <t>Airtech CN-235</t>
  </si>
  <si>
    <t>Alenia Aermacchi C-27J Spartan</t>
  </si>
  <si>
    <t>Antonov AN-32</t>
  </si>
  <si>
    <t>GippsAero Airvan GA18 TP</t>
  </si>
  <si>
    <t>Viking DHC-6 Twin Otter 400</t>
  </si>
  <si>
    <t>Airbus A330-200</t>
  </si>
  <si>
    <t>Airbus A350-1000 XWB</t>
  </si>
  <si>
    <t>Boeing 747-8</t>
  </si>
  <si>
    <t>Boeing 767-200ER</t>
  </si>
  <si>
    <t>Boeing 777-200ER</t>
  </si>
  <si>
    <t>Boeing 787-8 Dreamliner</t>
  </si>
  <si>
    <t>Boeing 747-8F</t>
  </si>
  <si>
    <t>Airbus A320</t>
  </si>
  <si>
    <t>Boeing 737-600</t>
  </si>
  <si>
    <t>Bombardier CS100ER</t>
  </si>
  <si>
    <t>Boeing 777F</t>
  </si>
  <si>
    <t>Bombardier CRJ700 Srs 705</t>
  </si>
  <si>
    <t>Bombardier CRJ1000</t>
  </si>
  <si>
    <t>Sukhoi Superjet 100 (SSJ-100)</t>
  </si>
  <si>
    <t>ATR 72-600</t>
  </si>
  <si>
    <t>Bombardier Dash 8 Q400</t>
  </si>
  <si>
    <t>Bombardier Global 5000</t>
  </si>
  <si>
    <t>Cessna 800 Citation Longitude</t>
  </si>
  <si>
    <t>Gulfstream G650</t>
  </si>
  <si>
    <t>Boeing Business Jet 3</t>
  </si>
  <si>
    <t>Dassault Falcon 7X</t>
  </si>
  <si>
    <t>Bombardier CL-605 Challenger</t>
  </si>
  <si>
    <t>Cessna 750 Citation X</t>
  </si>
  <si>
    <t>Dassault Falcon 5X</t>
  </si>
  <si>
    <t>Embraer Legacy 500</t>
  </si>
  <si>
    <t>Gulfstream G280</t>
  </si>
  <si>
    <t>Cessna 525 Citation M2</t>
  </si>
  <si>
    <t>Embraer Phenom 100</t>
  </si>
  <si>
    <t>Honda HA-420 HondaJet</t>
  </si>
  <si>
    <t>Aok Spacejet</t>
  </si>
  <si>
    <t>Cirrus Vision SF50</t>
  </si>
  <si>
    <t>ZYAC Primus 150</t>
  </si>
  <si>
    <t>Piper PA-46-350P Malibu Mirage</t>
  </si>
  <si>
    <t>Beechcraft King Air 350</t>
  </si>
  <si>
    <t>BNG BN2T Turbine Islander</t>
  </si>
  <si>
    <t>Discovery 201</t>
  </si>
  <si>
    <t>Tecnam P2012</t>
  </si>
  <si>
    <t>Beechcraft Baron 58</t>
  </si>
  <si>
    <t>Diamond DA52-VII</t>
  </si>
  <si>
    <t>Gidroplan Tsikada-4</t>
  </si>
  <si>
    <t>Piper PA-44-180 Seminole</t>
  </si>
  <si>
    <t>Tecnam P2006T</t>
  </si>
  <si>
    <t>Cessna 208 Caravan</t>
  </si>
  <si>
    <t>Epic E1000</t>
  </si>
  <si>
    <t>GippsAero Airvan GA10</t>
  </si>
  <si>
    <t>Pilatus PC-12</t>
  </si>
  <si>
    <t>Maule M-7</t>
  </si>
  <si>
    <t>SAIC Y-5</t>
  </si>
  <si>
    <t>Cessna 206 Stationair</t>
  </si>
  <si>
    <t>Expedition E350</t>
  </si>
  <si>
    <t>Speedtwin E2E Comet</t>
  </si>
  <si>
    <t>Air Tractor AT-502</t>
  </si>
  <si>
    <t>Air Tractor AT-802</t>
  </si>
  <si>
    <t>HAIC N-5A</t>
  </si>
  <si>
    <t>Beriev Be-200 Altair</t>
  </si>
  <si>
    <t>Bombardier 415</t>
  </si>
  <si>
    <t>Aero-Volga LA-8</t>
  </si>
  <si>
    <t>Ellison-Mahon Gweduck</t>
  </si>
  <si>
    <t>Aviatech L-42M Samara</t>
  </si>
  <si>
    <t>Auriga Aerocat</t>
  </si>
  <si>
    <t>Otrair Pelikan-4</t>
  </si>
  <si>
    <t>Gidrosamolet Che-29</t>
  </si>
  <si>
    <t>Gidroplan Che-22 Korvet 503</t>
  </si>
  <si>
    <t>Wet Aero M6</t>
  </si>
  <si>
    <t>GAV Freedom</t>
  </si>
  <si>
    <t>AirMAx M22 SeaMax</t>
  </si>
  <si>
    <t>LISA Akoya</t>
  </si>
  <si>
    <t>Ortair Pelikan-2</t>
  </si>
  <si>
    <t>Cobalt Co50 Valkyrie</t>
  </si>
  <si>
    <t>Cessna 182 Skylane</t>
  </si>
  <si>
    <t>Diamond DA40-180 Diamond Star</t>
  </si>
  <si>
    <t>Flight Design C4</t>
  </si>
  <si>
    <t>Orenavia D-32</t>
  </si>
  <si>
    <t>Waco YMF Super</t>
  </si>
  <si>
    <t>Fuji T-5</t>
  </si>
  <si>
    <t>Alpha 120</t>
  </si>
  <si>
    <t>Extra EA-200</t>
  </si>
  <si>
    <t>MXR MX2</t>
  </si>
  <si>
    <t>Grob G 115</t>
  </si>
  <si>
    <t>Swift II</t>
  </si>
  <si>
    <t>American Champion 8GCBC Scout</t>
  </si>
  <si>
    <t>Breezer Breezer</t>
  </si>
  <si>
    <t>Cessna 162 Skycatcher</t>
  </si>
  <si>
    <t>Flying Legend Hawker Hurricane</t>
  </si>
  <si>
    <t>Liberty XL-2</t>
  </si>
  <si>
    <t>Paradise P2</t>
  </si>
  <si>
    <t>Remos GX</t>
  </si>
  <si>
    <t>ZYAC SC3D</t>
  </si>
  <si>
    <t>Diamond HK36</t>
  </si>
  <si>
    <t>Stemme S6</t>
  </si>
  <si>
    <t>Aviat Pitts S-2C</t>
  </si>
  <si>
    <t>MXR MXS</t>
  </si>
  <si>
    <t>Dyn'Aero MCR180</t>
  </si>
  <si>
    <t>Lockwood AirCam</t>
  </si>
  <si>
    <t>Sherpa Sherpa K-200</t>
  </si>
  <si>
    <t>Epic LT</t>
  </si>
  <si>
    <t>Murphy Moose</t>
  </si>
  <si>
    <t>Velocity V-Twin</t>
  </si>
  <si>
    <t>Lancair Evolution</t>
  </si>
  <si>
    <t>Aviatech Super Cyclone</t>
  </si>
  <si>
    <t>C2P One</t>
  </si>
  <si>
    <t>Glasair Sportsman</t>
  </si>
  <si>
    <t>Ravin 500</t>
  </si>
  <si>
    <t>Velocity XL-5</t>
  </si>
  <si>
    <t>Morgan Cougar</t>
  </si>
  <si>
    <t>Murphy Rebel</t>
  </si>
  <si>
    <t>Culp's Special</t>
  </si>
  <si>
    <t>Maxfly M-1 Dragonfly</t>
  </si>
  <si>
    <t>Corvus CA-41 Racer 540</t>
  </si>
  <si>
    <t>Bede BD-17 Nugget</t>
  </si>
  <si>
    <t>Rud RA-2</t>
  </si>
  <si>
    <t>Valley Back Yard Flyer</t>
  </si>
  <si>
    <t>Airsport Song</t>
  </si>
  <si>
    <t>Fisher Avenger</t>
  </si>
  <si>
    <t>Morgan Super Diamond</t>
  </si>
  <si>
    <t>DAR Solo</t>
  </si>
  <si>
    <t>Silence Twister</t>
  </si>
  <si>
    <t>Tecnam Snap</t>
  </si>
  <si>
    <t>Fisher Youngster and Youngster V</t>
  </si>
  <si>
    <t>J&amp;AS J6 Fregata</t>
  </si>
  <si>
    <t>Ion 120</t>
  </si>
  <si>
    <t>Sam Sam</t>
  </si>
  <si>
    <t>Wag-Aero Sport Trainer</t>
  </si>
  <si>
    <t>Ashcraft DR 109</t>
  </si>
  <si>
    <t>Titan T-51 Mustang</t>
  </si>
  <si>
    <t>Legend Turbine Legend</t>
  </si>
  <si>
    <t>Blackshape Prime</t>
  </si>
  <si>
    <t>LH-10 Ellipse</t>
  </si>
  <si>
    <t>Free Bird Sportlite 103</t>
  </si>
  <si>
    <t>Rocky Mountain Ridge Runner</t>
  </si>
  <si>
    <t>Zlin Aviation Savage</t>
  </si>
  <si>
    <t>Aviator Shershen</t>
  </si>
  <si>
    <t>Kimball Model 12</t>
  </si>
  <si>
    <t>Murphy Renegade II</t>
  </si>
  <si>
    <t>TLAC Sherwood Ranger ST</t>
  </si>
  <si>
    <t>Lancair Legacy RG-550</t>
  </si>
  <si>
    <t>Wega 180</t>
  </si>
  <si>
    <t>Rud RA-3</t>
  </si>
  <si>
    <t>Brumby 600</t>
  </si>
  <si>
    <t>Europa Europa</t>
  </si>
  <si>
    <t>Ibis Magic</t>
  </si>
  <si>
    <t>Tecnam P92</t>
  </si>
  <si>
    <t>Airflow Twinbee</t>
  </si>
  <si>
    <t>FK 9</t>
  </si>
  <si>
    <t>Inpaer Conquest 160</t>
  </si>
  <si>
    <t>Medway SLA Executive</t>
  </si>
  <si>
    <t>Tecnam P2008</t>
  </si>
  <si>
    <t>AAK Wasp</t>
  </si>
  <si>
    <t>Fisher Dakota Hawk</t>
  </si>
  <si>
    <t>Quasar Baby</t>
  </si>
  <si>
    <t>Sonex Sonex</t>
  </si>
  <si>
    <t>Aeroflying Sensation</t>
  </si>
  <si>
    <t>Avama Stylus X2</t>
  </si>
  <si>
    <t>Golden Avio F30</t>
  </si>
  <si>
    <t>Ikarus C42</t>
  </si>
  <si>
    <t>Cobra Arrow</t>
  </si>
  <si>
    <t>Nuarb Air Symphony</t>
  </si>
  <si>
    <t>Sikorsky SA 2-38B</t>
  </si>
  <si>
    <t>Pilatus PC-12M</t>
  </si>
  <si>
    <t>Airtech CN235</t>
  </si>
  <si>
    <t>Airbus C212</t>
  </si>
  <si>
    <t>ATR 72-600 MP</t>
  </si>
  <si>
    <t>Vulcanair P.68</t>
  </si>
  <si>
    <t>Grob G 520</t>
  </si>
  <si>
    <t>Stemma S10-VTX</t>
  </si>
  <si>
    <t>CAC J-10A</t>
  </si>
  <si>
    <t>CAC J-20</t>
  </si>
  <si>
    <t>HAIC JL-10</t>
  </si>
  <si>
    <t>HAIC JL-8</t>
  </si>
  <si>
    <t>Dassault Rafale</t>
  </si>
  <si>
    <t>Alenia Aermacchi M-345</t>
  </si>
  <si>
    <t>Alenia Aermacchi SF-260</t>
  </si>
  <si>
    <t>MiG-29</t>
  </si>
  <si>
    <t>Sukhoi Su-30MK</t>
  </si>
  <si>
    <t>Sukhoi Su-35S</t>
  </si>
  <si>
    <t>KAI T-50</t>
  </si>
  <si>
    <t>KAI KT-1 Woong-Bee</t>
  </si>
  <si>
    <t>Saab JAS 39 Gripen</t>
  </si>
  <si>
    <t>Pilatus PC-7</t>
  </si>
  <si>
    <t>Pilatus PC-21</t>
  </si>
  <si>
    <t>Rud RA-6 Javelin</t>
  </si>
  <si>
    <t>Embraer KC-390</t>
  </si>
  <si>
    <t>HAI Y-12</t>
  </si>
  <si>
    <t>SAC Y-8</t>
  </si>
  <si>
    <t>SAC Y-9</t>
  </si>
  <si>
    <t>SAC Y-20</t>
  </si>
  <si>
    <t>HAL 228</t>
  </si>
  <si>
    <t>Kawasaki C-2</t>
  </si>
  <si>
    <t>PZL Mielec M28B</t>
  </si>
  <si>
    <t>Ilyshin Il-76</t>
  </si>
  <si>
    <t>Boeing KC-767</t>
  </si>
  <si>
    <t>Embraer ERJ-145XR</t>
  </si>
  <si>
    <t>COMAC C919</t>
  </si>
  <si>
    <t>COMAC ARJ21 Xiangfeng</t>
  </si>
  <si>
    <t>XAC MA60</t>
  </si>
  <si>
    <t>Bombardier CRJ200</t>
  </si>
  <si>
    <t>Bombardier CRJ900</t>
  </si>
  <si>
    <t>Airbus A318-100</t>
  </si>
  <si>
    <t>Airbus A319-100</t>
  </si>
  <si>
    <t>Airbus A321-100</t>
  </si>
  <si>
    <t>ATR 42-500</t>
  </si>
  <si>
    <t>Ilyushin Il-96-300</t>
  </si>
  <si>
    <t>Tuplev Tu-204</t>
  </si>
  <si>
    <t>Antonov An-148</t>
  </si>
  <si>
    <t>Boeing 767-300F</t>
  </si>
  <si>
    <t>Embraer Phenom 300</t>
  </si>
  <si>
    <t>Embraer Legacy 600</t>
  </si>
  <si>
    <t>Embraer Legacy 650</t>
  </si>
  <si>
    <t>Embraer Legacy 450</t>
  </si>
  <si>
    <t>Bombardier BD-700 Global 6000</t>
  </si>
  <si>
    <t>Bombardier Global 7000</t>
  </si>
  <si>
    <t>Bombardier Global 8000</t>
  </si>
  <si>
    <t>Bombardier Challenger 800</t>
  </si>
  <si>
    <t>Bombardier Challenger 870</t>
  </si>
  <si>
    <t>Bombardier Challenger 890</t>
  </si>
  <si>
    <t>Bombardier BD-100 Challenger 300</t>
  </si>
  <si>
    <t>Bombardier BD-100 Challenger 350</t>
  </si>
  <si>
    <t>ZYAC Starlight 200</t>
  </si>
  <si>
    <t>ZYAC Starlight 100</t>
  </si>
  <si>
    <t>Dassault Falcon 900</t>
  </si>
  <si>
    <t>Dassault Falcon 8X</t>
  </si>
  <si>
    <t>Extra EA-500</t>
  </si>
  <si>
    <t>Airbus ACJ 318</t>
  </si>
  <si>
    <t>Airbus ACJ 319</t>
  </si>
  <si>
    <t>Airbus ACJ 320</t>
  </si>
  <si>
    <t>Airbus ACJ 321</t>
  </si>
  <si>
    <t>Airbus ACJ 330</t>
  </si>
  <si>
    <t>Airbus ACJ 380</t>
  </si>
  <si>
    <t>Piaggio P.180 Avanti</t>
  </si>
  <si>
    <t>Gulfstream G450</t>
  </si>
  <si>
    <t>Gulfstream G500</t>
  </si>
  <si>
    <t>Gulfstream G550</t>
  </si>
  <si>
    <t>Gulfstream G600</t>
  </si>
  <si>
    <t>Boeing Business Jet</t>
  </si>
  <si>
    <t>Boeing Business Jet 2</t>
  </si>
  <si>
    <t>Cessna 525C Citation CJ4</t>
  </si>
  <si>
    <t>Cessna 560 Citation encore+</t>
  </si>
  <si>
    <t>Cessna 560XL Citation XLS+</t>
  </si>
  <si>
    <t>Cessna 680 Citation Sovereign</t>
  </si>
  <si>
    <t>Gulfstream G150</t>
  </si>
  <si>
    <t>Learjet 70</t>
  </si>
  <si>
    <t>Learjet 75</t>
  </si>
  <si>
    <t>Learjet 85</t>
  </si>
  <si>
    <t>Nextant 400XTi</t>
  </si>
  <si>
    <t>Cessna 510</t>
  </si>
  <si>
    <t>SyberJet SJ30</t>
  </si>
  <si>
    <t>Eclipse 550</t>
  </si>
  <si>
    <t>Stratos 714</t>
  </si>
  <si>
    <t>Beechcraft King Air 90</t>
  </si>
  <si>
    <t>KAC Kestrel K-350</t>
  </si>
  <si>
    <t>Nextant G90XT</t>
  </si>
  <si>
    <t>Piper PA-46-500TP Malibu Meridian</t>
  </si>
  <si>
    <t>Piper PA-46-350T Malibu Matrix</t>
  </si>
  <si>
    <t>GippsAero Airvan GA8</t>
  </si>
  <si>
    <t>Diamond DA42</t>
  </si>
  <si>
    <t>Neiva EMB-202</t>
  </si>
  <si>
    <t>Evektor EV-55 Outback</t>
  </si>
  <si>
    <t>Laviasa PA-25</t>
  </si>
  <si>
    <t>Reims F406</t>
  </si>
  <si>
    <t>Vulcanair AP.68TP 600</t>
  </si>
  <si>
    <t>Vulcanair Vr</t>
  </si>
  <si>
    <t>PAL P-750</t>
  </si>
  <si>
    <t>Progress Rysachok</t>
  </si>
  <si>
    <t>Ural LMS-9</t>
  </si>
  <si>
    <t>Ural LMS-19</t>
  </si>
  <si>
    <t>Chaika S-44</t>
  </si>
  <si>
    <t>Pilatus PC-6</t>
  </si>
  <si>
    <t>Softeks V-24</t>
  </si>
  <si>
    <t>KhiAT HIAT-650</t>
  </si>
  <si>
    <t>BNG BN2B Islander</t>
  </si>
  <si>
    <t>Beechcraft King Air 200</t>
  </si>
  <si>
    <t>Beechcraft King Air 250</t>
  </si>
  <si>
    <t>Piper PA-34-220T</t>
  </si>
  <si>
    <t>Beechcraft Bonanza 36</t>
  </si>
  <si>
    <t>Air Tractor AT-401</t>
  </si>
  <si>
    <t>Air Tractor AT-402</t>
  </si>
  <si>
    <t>Air Tractor AT-602</t>
  </si>
  <si>
    <t>Quest Kodiak</t>
  </si>
  <si>
    <t>Thrush Turbo-Thrush S2R</t>
  </si>
  <si>
    <t>Thrush 660 Turbo-Thrush</t>
  </si>
  <si>
    <t>SAIC HO-300</t>
  </si>
  <si>
    <t>Flywhale Flywhale</t>
  </si>
  <si>
    <t>Schempp-Hirth Seagle</t>
  </si>
  <si>
    <t>EDRA Aeronautica Super Petrel</t>
  </si>
  <si>
    <t>Fly Synthesis Catalina</t>
  </si>
  <si>
    <t>ShinMaywa US-2</t>
  </si>
  <si>
    <t>Equator P2 Xcursion</t>
  </si>
  <si>
    <t>Chaika L-72</t>
  </si>
  <si>
    <t>Chaika L-44</t>
  </si>
  <si>
    <t>Gidrosamolet Che-24</t>
  </si>
  <si>
    <t>VliegMasjien Wolf</t>
  </si>
  <si>
    <t>GAV Gannet</t>
  </si>
  <si>
    <t>Flygfabriken LN-3 Seagull</t>
  </si>
  <si>
    <t>Privateer Privateer</t>
  </si>
  <si>
    <t>Icon A5</t>
  </si>
  <si>
    <t>Progressive Aerodyne Searey</t>
  </si>
  <si>
    <t>Seawind Seawind 300C</t>
  </si>
  <si>
    <t>FAdeA IA-73</t>
  </si>
  <si>
    <t>Diamond DA50</t>
  </si>
  <si>
    <t>Diamond DA40D</t>
  </si>
  <si>
    <t>Diamond DA20-C1</t>
  </si>
  <si>
    <t>ScaleWings SW51 Mustang</t>
  </si>
  <si>
    <t>Inpaer Explorer</t>
  </si>
  <si>
    <t>Inpaer Excel</t>
  </si>
  <si>
    <t>Novaer U-Xc</t>
  </si>
  <si>
    <t>Zlin Aircraft Z 143</t>
  </si>
  <si>
    <t>Ziln Aircraft Z 242 L</t>
  </si>
  <si>
    <t>Issoire APM-30</t>
  </si>
  <si>
    <t>Issoire APM-40</t>
  </si>
  <si>
    <t>Robin DR 401</t>
  </si>
  <si>
    <t>Robin DR 401/160 Major</t>
  </si>
  <si>
    <t>Robin DR 401/180 Regent</t>
  </si>
  <si>
    <t>Robin DR 500 President</t>
  </si>
  <si>
    <t>Extra EA-300</t>
  </si>
  <si>
    <t>Extra EA-330</t>
  </si>
  <si>
    <t>Grob G 120A</t>
  </si>
  <si>
    <t>XtremeAir XA-42</t>
  </si>
  <si>
    <t>SAIC LE-500</t>
  </si>
  <si>
    <t>Tecnam P2010</t>
  </si>
  <si>
    <t>Vulcanair V1.0</t>
  </si>
  <si>
    <t>KAI KC-100</t>
  </si>
  <si>
    <t>Laros-100</t>
  </si>
  <si>
    <t>Alpha 160</t>
  </si>
  <si>
    <t>Pipistrel Panthera</t>
  </si>
  <si>
    <t>Ravin 300</t>
  </si>
  <si>
    <t>Cessna 172 Skyhawk</t>
  </si>
  <si>
    <t>Cessna T182T Skylane TC</t>
  </si>
  <si>
    <t>Cessna T240 TT*</t>
  </si>
  <si>
    <t>Cirrus SR20</t>
  </si>
  <si>
    <t>Cirrus SR22</t>
  </si>
  <si>
    <t>Mooney M20TN</t>
  </si>
  <si>
    <t>Piper PA-28-181</t>
  </si>
  <si>
    <t>Piper PA-28R-201</t>
  </si>
  <si>
    <t>Morgan Cheetah Sierra 200</t>
  </si>
  <si>
    <t>Paradise Eagle</t>
  </si>
  <si>
    <t>Ibis Urraco</t>
  </si>
  <si>
    <t>A2 Ellipse Spirit</t>
  </si>
  <si>
    <t>BRM Bristell NG5</t>
  </si>
  <si>
    <t>CSA PS-28</t>
  </si>
  <si>
    <t>DF Alto</t>
  </si>
  <si>
    <t>Dova DV-1 Skylark</t>
  </si>
  <si>
    <t>Eurodisplay SR01</t>
  </si>
  <si>
    <t>Evektor Harmony</t>
  </si>
  <si>
    <t>Jihlavan KP-5 Skyleader 500</t>
  </si>
  <si>
    <t>Jihlavan Skyleader 600</t>
  </si>
  <si>
    <t>Jihlavan Skyleader GP One</t>
  </si>
  <si>
    <t>JMB VL-3 Sprint</t>
  </si>
  <si>
    <t>Kubicek M-2 Scout</t>
  </si>
  <si>
    <t>Issoire APM-20</t>
  </si>
  <si>
    <t>Aquila A 211</t>
  </si>
  <si>
    <t>Flight Design CT</t>
  </si>
  <si>
    <t>Flaming Air FSU Peregrine</t>
  </si>
  <si>
    <t>Magnus MG-11 Fusion</t>
  </si>
  <si>
    <t>Dorna PICA I</t>
  </si>
  <si>
    <t>Dorna PICA II</t>
  </si>
  <si>
    <t>Flying Legend Embraer Tucano</t>
  </si>
  <si>
    <t>Fly Synthesis Syncro</t>
  </si>
  <si>
    <t>Fly Synthesis Texan</t>
  </si>
  <si>
    <t>ICP Vimana</t>
  </si>
  <si>
    <t>Magnaghi Sky Arrow</t>
  </si>
  <si>
    <t>Marc Parrot</t>
  </si>
  <si>
    <t>Tecnam Astore</t>
  </si>
  <si>
    <t>Tecnam P2002</t>
  </si>
  <si>
    <t>Next MD3 Rider</t>
  </si>
  <si>
    <t>CFM Air Dardo</t>
  </si>
  <si>
    <t>3Xtrim 550 Trener</t>
  </si>
  <si>
    <t>Aero AT-3</t>
  </si>
  <si>
    <t>Aero AT-4</t>
  </si>
  <si>
    <t>Lightwing AC4</t>
  </si>
  <si>
    <t>Aeroprakt-22</t>
  </si>
  <si>
    <t>American Champion 7EC Champ</t>
  </si>
  <si>
    <t>American Champion 7ECA Citabria Aurora</t>
  </si>
  <si>
    <t>American Champion 7GCAA Citabria Adventure</t>
  </si>
  <si>
    <t>American Champion 7GCBC Citabria Explorer</t>
  </si>
  <si>
    <t>American Champion 8KCAB Super Decathlon</t>
  </si>
  <si>
    <t>American Legend Cub</t>
  </si>
  <si>
    <t>Arion LS-1</t>
  </si>
  <si>
    <t>Aviat Husky A-1</t>
  </si>
  <si>
    <t>Cub Crafters CC18 Top Cub</t>
  </si>
  <si>
    <t>Cub Crafters CC11 Sport Cub</t>
  </si>
  <si>
    <t>Discovery XL-2</t>
  </si>
  <si>
    <t>LSA America Allegro</t>
  </si>
  <si>
    <t>Rans S-6 Coyote II</t>
  </si>
  <si>
    <t>Rans S-7 LS</t>
  </si>
  <si>
    <t>Rans S-19</t>
  </si>
  <si>
    <t>VoltAir 2.0</t>
  </si>
  <si>
    <t>Bradley, T H. et al. (2007)</t>
  </si>
  <si>
    <t>Herwerth, C. et al. (2007)</t>
  </si>
  <si>
    <t>Kim, K. et al. (2011)</t>
  </si>
  <si>
    <t>Kim, T. Kwon, S. (2012)</t>
  </si>
  <si>
    <t>Reiner Stemme Geo Explorer SK202</t>
  </si>
  <si>
    <t>Dirgantara NC212i</t>
  </si>
  <si>
    <t>Piaggio Avanti EVO</t>
  </si>
  <si>
    <t>Iomax Archangel</t>
  </si>
  <si>
    <t>Diamond DART-450</t>
  </si>
  <si>
    <t>Embraer EMB-314</t>
  </si>
  <si>
    <t>Aero L159</t>
  </si>
  <si>
    <t>HAL Tejas</t>
  </si>
  <si>
    <t>HAL HJT-36</t>
  </si>
  <si>
    <t>PAC JF-17 Thunder</t>
  </si>
  <si>
    <t>Sukhoi T-50</t>
  </si>
  <si>
    <t>SAT SR-10</t>
  </si>
  <si>
    <t>Yakovlev Yak-130</t>
  </si>
  <si>
    <t>Utva Kobac</t>
  </si>
  <si>
    <t>Pilatus PC-9M</t>
  </si>
  <si>
    <t>TAI Hurkus</t>
  </si>
  <si>
    <t>Trexton AirLand Scorpion</t>
  </si>
  <si>
    <t>AAC Y-20</t>
  </si>
  <si>
    <t>AI L 410UVP</t>
  </si>
  <si>
    <t>RUAG 228</t>
  </si>
  <si>
    <t>CSIR Saras</t>
  </si>
  <si>
    <t>Dirgantara N212i</t>
  </si>
  <si>
    <t>Dirgantara N219</t>
  </si>
  <si>
    <t>MTA</t>
  </si>
  <si>
    <t>PZL Mielec M28 05</t>
  </si>
  <si>
    <t>Embraer ERJ-170-100</t>
  </si>
  <si>
    <t>Airbus A320neo</t>
  </si>
  <si>
    <t>Airbus A321-200</t>
  </si>
  <si>
    <t>Airbus A330-300</t>
  </si>
  <si>
    <t>Airbus A330-200F</t>
  </si>
  <si>
    <t>Airbus A350-800 XWB</t>
  </si>
  <si>
    <t>Airbus A350-900 XWB</t>
  </si>
  <si>
    <t>Airbus A380-800</t>
  </si>
  <si>
    <t>Airbus A380-800F</t>
  </si>
  <si>
    <t>Mitsubishi MRJ</t>
  </si>
  <si>
    <t>Irkut MS-21</t>
  </si>
  <si>
    <t>Antonov An-140</t>
  </si>
  <si>
    <t>Boeing 737-700</t>
  </si>
  <si>
    <t>Boeing 737-800</t>
  </si>
  <si>
    <t>Boeing 737-900</t>
  </si>
  <si>
    <t>?</t>
  </si>
  <si>
    <t>Boeing 767-300ER</t>
  </si>
  <si>
    <t>Boeing 767-400ER</t>
  </si>
  <si>
    <t>Boeing 777-300ER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</si>
</sst>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sz val="10"/>
      <color rgb="FF9C0006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9C000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9">
    <xf numFmtId="0" fontId="0" fillId="0" borderId="0" xfId="0"/>
    <xf numFmtId="0" fontId="3" fillId="0" borderId="0" xfId="2" applyFont="1" applyFill="1"/>
    <xf numFmtId="0" fontId="4" fillId="0" borderId="0" xfId="0" applyFont="1"/>
    <xf numFmtId="0" fontId="3" fillId="0" borderId="0" xfId="0" applyFont="1"/>
    <xf numFmtId="0" fontId="3" fillId="0" borderId="0" xfId="2" applyFont="1"/>
    <xf numFmtId="0" fontId="5" fillId="0" borderId="0" xfId="1" applyFont="1" applyFill="1"/>
    <xf numFmtId="0" fontId="3" fillId="0" borderId="0" xfId="0" applyFont="1" applyFill="1"/>
    <xf numFmtId="0" fontId="3" fillId="3" borderId="0" xfId="2" applyFont="1" applyFill="1"/>
    <xf numFmtId="0" fontId="3" fillId="3" borderId="0" xfId="0" applyFont="1" applyFill="1"/>
  </cellXfs>
  <cellStyles count="3">
    <cellStyle name="Bad" xfId="1" builtinId="27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1.xml"/><Relationship Id="rId26" Type="http://schemas.openxmlformats.org/officeDocument/2006/relationships/worksheet" Target="worksheets/sheet11.xml"/><Relationship Id="rId3" Type="http://schemas.openxmlformats.org/officeDocument/2006/relationships/chartsheet" Target="chartsheets/sheet2.xml"/><Relationship Id="rId21" Type="http://schemas.openxmlformats.org/officeDocument/2006/relationships/chartsheet" Target="chartsheets/sheet13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7.xml"/><Relationship Id="rId17" Type="http://schemas.openxmlformats.org/officeDocument/2006/relationships/worksheet" Target="worksheets/sheet7.xml"/><Relationship Id="rId25" Type="http://schemas.openxmlformats.org/officeDocument/2006/relationships/chartsheet" Target="chartsheets/sheet15.xml"/><Relationship Id="rId2" Type="http://schemas.openxmlformats.org/officeDocument/2006/relationships/worksheet" Target="worksheets/sheet1.xml"/><Relationship Id="rId16" Type="http://schemas.openxmlformats.org/officeDocument/2006/relationships/chartsheet" Target="chartsheets/sheet10.xml"/><Relationship Id="rId20" Type="http://schemas.openxmlformats.org/officeDocument/2006/relationships/worksheet" Target="worksheets/sheet8.xml"/><Relationship Id="rId29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5.xml"/><Relationship Id="rId24" Type="http://schemas.openxmlformats.org/officeDocument/2006/relationships/worksheet" Target="worksheets/sheet10.xml"/><Relationship Id="rId5" Type="http://schemas.openxmlformats.org/officeDocument/2006/relationships/chartsheet" Target="chartsheets/sheet3.xml"/><Relationship Id="rId15" Type="http://schemas.openxmlformats.org/officeDocument/2006/relationships/chartsheet" Target="chartsheets/sheet9.xml"/><Relationship Id="rId23" Type="http://schemas.openxmlformats.org/officeDocument/2006/relationships/chartsheet" Target="chartsheets/sheet14.xml"/><Relationship Id="rId28" Type="http://schemas.openxmlformats.org/officeDocument/2006/relationships/styles" Target="styles.xml"/><Relationship Id="rId10" Type="http://schemas.openxmlformats.org/officeDocument/2006/relationships/chartsheet" Target="chartsheets/sheet6.xml"/><Relationship Id="rId19" Type="http://schemas.openxmlformats.org/officeDocument/2006/relationships/chartsheet" Target="chartsheets/sheet12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5.xml"/><Relationship Id="rId14" Type="http://schemas.openxmlformats.org/officeDocument/2006/relationships/worksheet" Target="worksheets/sheet6.xml"/><Relationship Id="rId22" Type="http://schemas.openxmlformats.org/officeDocument/2006/relationships/worksheet" Target="worksheets/sheet9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Propulsive Power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-4.0295470758462883E-2"/>
                  <c:y val="2.175476884287102E-2"/>
                </c:manualLayout>
              </c:layout>
              <c:numFmt formatCode="General" sourceLinked="0"/>
            </c:trendlineLbl>
          </c:trendline>
          <c:xVal>
            <c:numRef>
              <c:f>'Fuel Cell'!$G$2:$G$7</c:f>
              <c:numCache>
                <c:formatCode>General</c:formatCode>
                <c:ptCount val="6"/>
                <c:pt idx="0">
                  <c:v>825</c:v>
                </c:pt>
                <c:pt idx="1">
                  <c:v>1500</c:v>
                </c:pt>
                <c:pt idx="2">
                  <c:v>16.399999999999999</c:v>
                </c:pt>
                <c:pt idx="3">
                  <c:v>5</c:v>
                </c:pt>
                <c:pt idx="4">
                  <c:v>2.5</c:v>
                </c:pt>
                <c:pt idx="5">
                  <c:v>1.5</c:v>
                </c:pt>
              </c:numCache>
            </c:numRef>
          </c:xVal>
          <c:yVal>
            <c:numRef>
              <c:f>'Fuel Cell'!$I$2:$I$7</c:f>
              <c:numCache>
                <c:formatCode>General</c:formatCode>
                <c:ptCount val="6"/>
                <c:pt idx="0">
                  <c:v>33</c:v>
                </c:pt>
                <c:pt idx="1">
                  <c:v>80</c:v>
                </c:pt>
                <c:pt idx="2">
                  <c:v>0.4</c:v>
                </c:pt>
                <c:pt idx="3">
                  <c:v>0.15</c:v>
                </c:pt>
                <c:pt idx="4">
                  <c:v>0.3</c:v>
                </c:pt>
                <c:pt idx="5">
                  <c:v>0.24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2C9-40E0-899E-6C019D6EAC9A}"/>
            </c:ext>
          </c:extLst>
        </c:ser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4.0381506157884113E-2"/>
                  <c:y val="0.16406489346312025"/>
                </c:manualLayout>
              </c:layout>
              <c:numFmt formatCode="General" sourceLinked="0"/>
            </c:trendlineLbl>
          </c:trendline>
          <c:xVal>
            <c:numRef>
              <c:f>'Fuel Cell'!$G$2:$G$7</c:f>
              <c:numCache>
                <c:formatCode>General</c:formatCode>
                <c:ptCount val="6"/>
                <c:pt idx="0">
                  <c:v>825</c:v>
                </c:pt>
                <c:pt idx="1">
                  <c:v>1500</c:v>
                </c:pt>
                <c:pt idx="2">
                  <c:v>16.399999999999999</c:v>
                </c:pt>
                <c:pt idx="3">
                  <c:v>5</c:v>
                </c:pt>
                <c:pt idx="4">
                  <c:v>2.5</c:v>
                </c:pt>
                <c:pt idx="5">
                  <c:v>1.5</c:v>
                </c:pt>
              </c:numCache>
            </c:numRef>
          </c:xVal>
          <c:yVal>
            <c:numRef>
              <c:f>'Fuel Cell'!$J$2:$J$7</c:f>
              <c:numCache>
                <c:formatCode>General</c:formatCode>
                <c:ptCount val="6"/>
                <c:pt idx="0">
                  <c:v>25</c:v>
                </c:pt>
                <c:pt idx="1">
                  <c:v>45</c:v>
                </c:pt>
                <c:pt idx="2">
                  <c:v>0.46500000000000002</c:v>
                </c:pt>
                <c:pt idx="3">
                  <c:v>0.15</c:v>
                </c:pt>
                <c:pt idx="4">
                  <c:v>0.1</c:v>
                </c:pt>
                <c:pt idx="5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2C9-40E0-899E-6C019D6EA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valAx>
        <c:axId val="-47965392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ax val="9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Propulsive Power &amp;</a:t>
                </a:r>
                <a:br>
                  <a:rPr lang="en-GB"/>
                </a:b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3300452436888863"/>
          <c:y val="3.8161417950559766E-2"/>
          <c:w val="0.25970130945444508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Propulsive Power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poly"/>
            <c:order val="3"/>
            <c:intercept val="0"/>
            <c:dispRSqr val="1"/>
            <c:dispEq val="1"/>
            <c:trendlineLbl>
              <c:layout>
                <c:manualLayout>
                  <c:x val="-8.0441408077991119E-2"/>
                  <c:y val="4.8178395023456715E-2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'Airliner and freighter'!$G$46:$G$50</c:f>
              <c:numCache>
                <c:formatCode>General</c:formatCode>
                <c:ptCount val="5"/>
                <c:pt idx="0">
                  <c:v>22800</c:v>
                </c:pt>
                <c:pt idx="1">
                  <c:v>27987</c:v>
                </c:pt>
                <c:pt idx="2">
                  <c:v>21800</c:v>
                </c:pt>
                <c:pt idx="3">
                  <c:v>18600</c:v>
                </c:pt>
                <c:pt idx="4">
                  <c:v>21500</c:v>
                </c:pt>
              </c:numCache>
            </c:numRef>
          </c:xVal>
          <c:yVal>
            <c:numRef>
              <c:f>'Airliner and freighter'!$J$46:$J$50</c:f>
              <c:numCache>
                <c:formatCode>General</c:formatCode>
                <c:ptCount val="5"/>
                <c:pt idx="0">
                  <c:v>4102</c:v>
                </c:pt>
                <c:pt idx="1">
                  <c:v>7562</c:v>
                </c:pt>
                <c:pt idx="2">
                  <c:v>4102</c:v>
                </c:pt>
                <c:pt idx="3">
                  <c:v>3580</c:v>
                </c:pt>
                <c:pt idx="4">
                  <c:v>3678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6F5-4DBA-BC96-B8168182D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scatterChart>
        <c:scatterStyle val="lineMarker"/>
        <c:varyColors val="0"/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8.2170149487731936E-3"/>
                  <c:y val="0.12632798065596132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</c:spPr>
            </c:trendlineLbl>
          </c:trendline>
          <c:xVal>
            <c:numRef>
              <c:f>'Airliner and freighter'!$G$46:$G$50</c:f>
              <c:numCache>
                <c:formatCode>General</c:formatCode>
                <c:ptCount val="5"/>
                <c:pt idx="0">
                  <c:v>22800</c:v>
                </c:pt>
                <c:pt idx="1">
                  <c:v>27987</c:v>
                </c:pt>
                <c:pt idx="2">
                  <c:v>21800</c:v>
                </c:pt>
                <c:pt idx="3">
                  <c:v>18600</c:v>
                </c:pt>
                <c:pt idx="4">
                  <c:v>21500</c:v>
                </c:pt>
              </c:numCache>
            </c:numRef>
          </c:xVal>
          <c:yVal>
            <c:numRef>
              <c:f>'Airliner and freighter'!$K$46:$K$50</c:f>
              <c:numCache>
                <c:formatCode>General</c:formatCode>
                <c:ptCount val="5"/>
                <c:pt idx="0">
                  <c:v>24</c:v>
                </c:pt>
                <c:pt idx="2">
                  <c:v>12</c:v>
                </c:pt>
                <c:pt idx="3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6F5-4DBA-BC96-B8168182D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83888"/>
        <c:axId val="-47958608"/>
      </c:scatterChart>
      <c:valAx>
        <c:axId val="-47965392"/>
        <c:scaling>
          <c:orientation val="minMax"/>
          <c:min val="17000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Propulsive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valAx>
        <c:axId val="-47958608"/>
        <c:scaling>
          <c:orientation val="minMax"/>
          <c:max val="4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27283888"/>
        <c:crosses val="max"/>
        <c:crossBetween val="midCat"/>
      </c:valAx>
      <c:valAx>
        <c:axId val="-12728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7958608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3392915822388399"/>
          <c:y val="4.0263045859425049E-2"/>
          <c:w val="0.2546698360818106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Max Thrust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-0.32754156462084089"/>
                  <c:y val="0.60772009010684691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Business!$G$2:$G$57</c:f>
              <c:numCache>
                <c:formatCode>General</c:formatCode>
                <c:ptCount val="56"/>
                <c:pt idx="0">
                  <c:v>41957</c:v>
                </c:pt>
                <c:pt idx="1">
                  <c:v>24948</c:v>
                </c:pt>
                <c:pt idx="2">
                  <c:v>45180</c:v>
                </c:pt>
                <c:pt idx="3">
                  <c:v>85140</c:v>
                </c:pt>
                <c:pt idx="4">
                  <c:v>31297</c:v>
                </c:pt>
                <c:pt idx="5">
                  <c:v>21863</c:v>
                </c:pt>
                <c:pt idx="6">
                  <c:v>16375</c:v>
                </c:pt>
                <c:pt idx="7">
                  <c:v>31570</c:v>
                </c:pt>
                <c:pt idx="9">
                  <c:v>17962</c:v>
                </c:pt>
                <c:pt idx="10">
                  <c:v>4853</c:v>
                </c:pt>
                <c:pt idx="11">
                  <c:v>4750</c:v>
                </c:pt>
                <c:pt idx="13">
                  <c:v>300</c:v>
                </c:pt>
                <c:pt idx="14">
                  <c:v>2722</c:v>
                </c:pt>
                <c:pt idx="15">
                  <c:v>8618</c:v>
                </c:pt>
                <c:pt idx="16">
                  <c:v>22500</c:v>
                </c:pt>
                <c:pt idx="17">
                  <c:v>24300</c:v>
                </c:pt>
                <c:pt idx="19">
                  <c:v>45130</c:v>
                </c:pt>
                <c:pt idx="20">
                  <c:v>48194</c:v>
                </c:pt>
                <c:pt idx="21">
                  <c:v>47536</c:v>
                </c:pt>
                <c:pt idx="22">
                  <c:v>24040</c:v>
                </c:pt>
                <c:pt idx="23">
                  <c:v>32999</c:v>
                </c:pt>
                <c:pt idx="24">
                  <c:v>36514</c:v>
                </c:pt>
                <c:pt idx="25">
                  <c:v>17622</c:v>
                </c:pt>
                <c:pt idx="26">
                  <c:v>18416</c:v>
                </c:pt>
                <c:pt idx="27">
                  <c:v>2495</c:v>
                </c:pt>
                <c:pt idx="28">
                  <c:v>3493</c:v>
                </c:pt>
                <c:pt idx="29">
                  <c:v>21182</c:v>
                </c:pt>
                <c:pt idx="30">
                  <c:v>33112</c:v>
                </c:pt>
                <c:pt idx="31">
                  <c:v>66000</c:v>
                </c:pt>
                <c:pt idx="32">
                  <c:v>64000</c:v>
                </c:pt>
                <c:pt idx="33">
                  <c:v>73500</c:v>
                </c:pt>
                <c:pt idx="34">
                  <c:v>89000</c:v>
                </c:pt>
                <c:pt idx="35">
                  <c:v>230000</c:v>
                </c:pt>
                <c:pt idx="36">
                  <c:v>559995</c:v>
                </c:pt>
                <c:pt idx="37">
                  <c:v>33838</c:v>
                </c:pt>
                <c:pt idx="38">
                  <c:v>34859</c:v>
                </c:pt>
                <c:pt idx="39">
                  <c:v>41277</c:v>
                </c:pt>
                <c:pt idx="40">
                  <c:v>41549</c:v>
                </c:pt>
                <c:pt idx="41">
                  <c:v>77565</c:v>
                </c:pt>
                <c:pt idx="42">
                  <c:v>79015</c:v>
                </c:pt>
                <c:pt idx="43">
                  <c:v>7761</c:v>
                </c:pt>
                <c:pt idx="44">
                  <c:v>7634</c:v>
                </c:pt>
                <c:pt idx="45">
                  <c:v>9163</c:v>
                </c:pt>
                <c:pt idx="46">
                  <c:v>13959</c:v>
                </c:pt>
                <c:pt idx="47">
                  <c:v>11839</c:v>
                </c:pt>
                <c:pt idx="48">
                  <c:v>9752</c:v>
                </c:pt>
                <c:pt idx="49">
                  <c:v>9752</c:v>
                </c:pt>
                <c:pt idx="50">
                  <c:v>16125</c:v>
                </c:pt>
                <c:pt idx="51">
                  <c:v>7394</c:v>
                </c:pt>
                <c:pt idx="52">
                  <c:v>3921</c:v>
                </c:pt>
                <c:pt idx="53">
                  <c:v>6328</c:v>
                </c:pt>
                <c:pt idx="54">
                  <c:v>2722</c:v>
                </c:pt>
                <c:pt idx="55">
                  <c:v>3272</c:v>
                </c:pt>
              </c:numCache>
            </c:numRef>
          </c:xVal>
          <c:yVal>
            <c:numRef>
              <c:f>Business!$I$2:$I$57</c:f>
              <c:numCache>
                <c:formatCode>General</c:formatCode>
                <c:ptCount val="56"/>
                <c:pt idx="1">
                  <c:v>89</c:v>
                </c:pt>
                <c:pt idx="2">
                  <c:v>150.4</c:v>
                </c:pt>
                <c:pt idx="3">
                  <c:v>242.8</c:v>
                </c:pt>
                <c:pt idx="4">
                  <c:v>85.5</c:v>
                </c:pt>
                <c:pt idx="5">
                  <c:v>82</c:v>
                </c:pt>
                <c:pt idx="6">
                  <c:v>60.02</c:v>
                </c:pt>
                <c:pt idx="7">
                  <c:v>101.8</c:v>
                </c:pt>
                <c:pt idx="8">
                  <c:v>66.599999999999994</c:v>
                </c:pt>
                <c:pt idx="9">
                  <c:v>66.239999999999995</c:v>
                </c:pt>
                <c:pt idx="10">
                  <c:v>17.48</c:v>
                </c:pt>
                <c:pt idx="11">
                  <c:v>15.08</c:v>
                </c:pt>
                <c:pt idx="12">
                  <c:v>18.64</c:v>
                </c:pt>
                <c:pt idx="13">
                  <c:v>2.2000000000000002</c:v>
                </c:pt>
                <c:pt idx="14">
                  <c:v>8.4499999999999993</c:v>
                </c:pt>
                <c:pt idx="15">
                  <c:v>28.46</c:v>
                </c:pt>
                <c:pt idx="16">
                  <c:v>74.2</c:v>
                </c:pt>
                <c:pt idx="17">
                  <c:v>80.2</c:v>
                </c:pt>
                <c:pt idx="18">
                  <c:v>54.8</c:v>
                </c:pt>
                <c:pt idx="19">
                  <c:v>131.19999999999999</c:v>
                </c:pt>
                <c:pt idx="20">
                  <c:v>131.19999999999999</c:v>
                </c:pt>
                <c:pt idx="21">
                  <c:v>131.19999999999999</c:v>
                </c:pt>
                <c:pt idx="22">
                  <c:v>82</c:v>
                </c:pt>
                <c:pt idx="23">
                  <c:v>112.8</c:v>
                </c:pt>
                <c:pt idx="24">
                  <c:v>116.8</c:v>
                </c:pt>
                <c:pt idx="25">
                  <c:v>71.62</c:v>
                </c:pt>
                <c:pt idx="26">
                  <c:v>65.2</c:v>
                </c:pt>
                <c:pt idx="27">
                  <c:v>7.54</c:v>
                </c:pt>
                <c:pt idx="28">
                  <c:v>16.899999999999999</c:v>
                </c:pt>
                <c:pt idx="29">
                  <c:v>66.72</c:v>
                </c:pt>
                <c:pt idx="30">
                  <c:v>89.699999999999989</c:v>
                </c:pt>
                <c:pt idx="31">
                  <c:v>207.2</c:v>
                </c:pt>
                <c:pt idx="32">
                  <c:v>240.2</c:v>
                </c:pt>
                <c:pt idx="33">
                  <c:v>236</c:v>
                </c:pt>
                <c:pt idx="34">
                  <c:v>281.2</c:v>
                </c:pt>
                <c:pt idx="35">
                  <c:v>632</c:v>
                </c:pt>
                <c:pt idx="36">
                  <c:v>1428</c:v>
                </c:pt>
                <c:pt idx="37">
                  <c:v>123.2</c:v>
                </c:pt>
                <c:pt idx="38">
                  <c:v>134.80000000000001</c:v>
                </c:pt>
                <c:pt idx="39">
                  <c:v>136.80000000000001</c:v>
                </c:pt>
                <c:pt idx="40">
                  <c:v>139.4</c:v>
                </c:pt>
                <c:pt idx="41">
                  <c:v>242.8</c:v>
                </c:pt>
                <c:pt idx="42">
                  <c:v>242.8</c:v>
                </c:pt>
                <c:pt idx="43">
                  <c:v>32.22</c:v>
                </c:pt>
                <c:pt idx="44">
                  <c:v>30.24</c:v>
                </c:pt>
                <c:pt idx="45">
                  <c:v>36.64</c:v>
                </c:pt>
                <c:pt idx="46">
                  <c:v>52.06</c:v>
                </c:pt>
                <c:pt idx="47">
                  <c:v>39.32</c:v>
                </c:pt>
                <c:pt idx="48">
                  <c:v>34.26</c:v>
                </c:pt>
                <c:pt idx="49">
                  <c:v>34.26</c:v>
                </c:pt>
                <c:pt idx="50">
                  <c:v>54.2</c:v>
                </c:pt>
                <c:pt idx="51">
                  <c:v>27.12</c:v>
                </c:pt>
                <c:pt idx="52">
                  <c:v>12.98</c:v>
                </c:pt>
                <c:pt idx="53">
                  <c:v>20.46</c:v>
                </c:pt>
                <c:pt idx="54">
                  <c:v>8</c:v>
                </c:pt>
                <c:pt idx="55">
                  <c:v>13.48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AE7-430C-92E8-EA0BB8BBB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scatterChart>
        <c:scatterStyle val="lineMarker"/>
        <c:varyColors val="0"/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-0.44192988749027051"/>
                  <c:y val="0.28041085415504163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</c:spPr>
            </c:trendlineLbl>
          </c:trendline>
          <c:xVal>
            <c:numRef>
              <c:f>Business!$G$2:$G$57</c:f>
              <c:numCache>
                <c:formatCode>General</c:formatCode>
                <c:ptCount val="56"/>
                <c:pt idx="0">
                  <c:v>41957</c:v>
                </c:pt>
                <c:pt idx="1">
                  <c:v>24948</c:v>
                </c:pt>
                <c:pt idx="2">
                  <c:v>45180</c:v>
                </c:pt>
                <c:pt idx="3">
                  <c:v>85140</c:v>
                </c:pt>
                <c:pt idx="4">
                  <c:v>31297</c:v>
                </c:pt>
                <c:pt idx="5">
                  <c:v>21863</c:v>
                </c:pt>
                <c:pt idx="6">
                  <c:v>16375</c:v>
                </c:pt>
                <c:pt idx="7">
                  <c:v>31570</c:v>
                </c:pt>
                <c:pt idx="9">
                  <c:v>17962</c:v>
                </c:pt>
                <c:pt idx="10">
                  <c:v>4853</c:v>
                </c:pt>
                <c:pt idx="11">
                  <c:v>4750</c:v>
                </c:pt>
                <c:pt idx="13">
                  <c:v>300</c:v>
                </c:pt>
                <c:pt idx="14">
                  <c:v>2722</c:v>
                </c:pt>
                <c:pt idx="15">
                  <c:v>8618</c:v>
                </c:pt>
                <c:pt idx="16">
                  <c:v>22500</c:v>
                </c:pt>
                <c:pt idx="17">
                  <c:v>24300</c:v>
                </c:pt>
                <c:pt idx="19">
                  <c:v>45130</c:v>
                </c:pt>
                <c:pt idx="20">
                  <c:v>48194</c:v>
                </c:pt>
                <c:pt idx="21">
                  <c:v>47536</c:v>
                </c:pt>
                <c:pt idx="22">
                  <c:v>24040</c:v>
                </c:pt>
                <c:pt idx="23">
                  <c:v>32999</c:v>
                </c:pt>
                <c:pt idx="24">
                  <c:v>36514</c:v>
                </c:pt>
                <c:pt idx="25">
                  <c:v>17622</c:v>
                </c:pt>
                <c:pt idx="26">
                  <c:v>18416</c:v>
                </c:pt>
                <c:pt idx="27">
                  <c:v>2495</c:v>
                </c:pt>
                <c:pt idx="28">
                  <c:v>3493</c:v>
                </c:pt>
                <c:pt idx="29">
                  <c:v>21182</c:v>
                </c:pt>
                <c:pt idx="30">
                  <c:v>33112</c:v>
                </c:pt>
                <c:pt idx="31">
                  <c:v>66000</c:v>
                </c:pt>
                <c:pt idx="32">
                  <c:v>64000</c:v>
                </c:pt>
                <c:pt idx="33">
                  <c:v>73500</c:v>
                </c:pt>
                <c:pt idx="34">
                  <c:v>89000</c:v>
                </c:pt>
                <c:pt idx="35">
                  <c:v>230000</c:v>
                </c:pt>
                <c:pt idx="36">
                  <c:v>559995</c:v>
                </c:pt>
                <c:pt idx="37">
                  <c:v>33838</c:v>
                </c:pt>
                <c:pt idx="38">
                  <c:v>34859</c:v>
                </c:pt>
                <c:pt idx="39">
                  <c:v>41277</c:v>
                </c:pt>
                <c:pt idx="40">
                  <c:v>41549</c:v>
                </c:pt>
                <c:pt idx="41">
                  <c:v>77565</c:v>
                </c:pt>
                <c:pt idx="42">
                  <c:v>79015</c:v>
                </c:pt>
                <c:pt idx="43">
                  <c:v>7761</c:v>
                </c:pt>
                <c:pt idx="44">
                  <c:v>7634</c:v>
                </c:pt>
                <c:pt idx="45">
                  <c:v>9163</c:v>
                </c:pt>
                <c:pt idx="46">
                  <c:v>13959</c:v>
                </c:pt>
                <c:pt idx="47">
                  <c:v>11839</c:v>
                </c:pt>
                <c:pt idx="48">
                  <c:v>9752</c:v>
                </c:pt>
                <c:pt idx="49">
                  <c:v>9752</c:v>
                </c:pt>
                <c:pt idx="50">
                  <c:v>16125</c:v>
                </c:pt>
                <c:pt idx="51">
                  <c:v>7394</c:v>
                </c:pt>
                <c:pt idx="52">
                  <c:v>3921</c:v>
                </c:pt>
                <c:pt idx="53">
                  <c:v>6328</c:v>
                </c:pt>
                <c:pt idx="54">
                  <c:v>2722</c:v>
                </c:pt>
                <c:pt idx="55">
                  <c:v>3272</c:v>
                </c:pt>
              </c:numCache>
            </c:numRef>
          </c:xVal>
          <c:yVal>
            <c:numRef>
              <c:f>Business!$K$2:$K$57</c:f>
              <c:numCache>
                <c:formatCode>General</c:formatCode>
                <c:ptCount val="56"/>
                <c:pt idx="2">
                  <c:v>90</c:v>
                </c:pt>
                <c:pt idx="3">
                  <c:v>202.5</c:v>
                </c:pt>
                <c:pt idx="4">
                  <c:v>36</c:v>
                </c:pt>
                <c:pt idx="5">
                  <c:v>45</c:v>
                </c:pt>
                <c:pt idx="6">
                  <c:v>22.4</c:v>
                </c:pt>
                <c:pt idx="7">
                  <c:v>18.75</c:v>
                </c:pt>
                <c:pt idx="9">
                  <c:v>33.6</c:v>
                </c:pt>
                <c:pt idx="10">
                  <c:v>17.399999999999999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45</c:v>
                </c:pt>
                <c:pt idx="23">
                  <c:v>60</c:v>
                </c:pt>
                <c:pt idx="25">
                  <c:v>33.6</c:v>
                </c:pt>
                <c:pt idx="26">
                  <c:v>33.6</c:v>
                </c:pt>
                <c:pt idx="29">
                  <c:v>27</c:v>
                </c:pt>
                <c:pt idx="30">
                  <c:v>36</c:v>
                </c:pt>
                <c:pt idx="31">
                  <c:v>135</c:v>
                </c:pt>
                <c:pt idx="32">
                  <c:v>135</c:v>
                </c:pt>
                <c:pt idx="33">
                  <c:v>135</c:v>
                </c:pt>
                <c:pt idx="34">
                  <c:v>135</c:v>
                </c:pt>
                <c:pt idx="35">
                  <c:v>258.75</c:v>
                </c:pt>
                <c:pt idx="36">
                  <c:v>675</c:v>
                </c:pt>
                <c:pt idx="37">
                  <c:v>54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202.5</c:v>
                </c:pt>
                <c:pt idx="42">
                  <c:v>202.5</c:v>
                </c:pt>
                <c:pt idx="43">
                  <c:v>17.100000000000001</c:v>
                </c:pt>
                <c:pt idx="44">
                  <c:v>16.8</c:v>
                </c:pt>
                <c:pt idx="45">
                  <c:v>25.2</c:v>
                </c:pt>
                <c:pt idx="46">
                  <c:v>25.2</c:v>
                </c:pt>
                <c:pt idx="47">
                  <c:v>18</c:v>
                </c:pt>
                <c:pt idx="51">
                  <c:v>22.8</c:v>
                </c:pt>
                <c:pt idx="52">
                  <c:v>16.8</c:v>
                </c:pt>
                <c:pt idx="53">
                  <c:v>18.2</c:v>
                </c:pt>
                <c:pt idx="54">
                  <c:v>9.6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AE7-430C-92E8-EA0BB8BBB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83888"/>
        <c:axId val="-47958608"/>
      </c:scatterChart>
      <c:valAx>
        <c:axId val="-47965392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Max Thrust (kN)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valAx>
        <c:axId val="-47958608"/>
        <c:scaling>
          <c:orientation val="minMax"/>
          <c:max val="8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27283888"/>
        <c:crosses val="max"/>
        <c:crossBetween val="midCat"/>
      </c:valAx>
      <c:valAx>
        <c:axId val="-12728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7958608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1757955615311587"/>
          <c:y val="3.6065389464112259E-2"/>
          <c:w val="0.25970130945444508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Propulsive Power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poly"/>
            <c:order val="4"/>
            <c:intercept val="0"/>
            <c:dispRSqr val="1"/>
            <c:dispEq val="1"/>
            <c:trendlineLbl>
              <c:layout>
                <c:manualLayout>
                  <c:x val="-0.24264112017217337"/>
                  <c:y val="0.38246024758716185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Business!$G$59:$G$67</c:f>
              <c:numCache>
                <c:formatCode>General</c:formatCode>
                <c:ptCount val="9"/>
                <c:pt idx="0">
                  <c:v>2495</c:v>
                </c:pt>
                <c:pt idx="1">
                  <c:v>1969</c:v>
                </c:pt>
                <c:pt idx="2">
                  <c:v>2130</c:v>
                </c:pt>
                <c:pt idx="3">
                  <c:v>5488</c:v>
                </c:pt>
                <c:pt idx="4">
                  <c:v>4581</c:v>
                </c:pt>
                <c:pt idx="5">
                  <c:v>3856</c:v>
                </c:pt>
                <c:pt idx="6">
                  <c:v>4763</c:v>
                </c:pt>
                <c:pt idx="7">
                  <c:v>2310</c:v>
                </c:pt>
                <c:pt idx="8">
                  <c:v>1969</c:v>
                </c:pt>
              </c:numCache>
            </c:numRef>
          </c:xVal>
          <c:yVal>
            <c:numRef>
              <c:f>Business!$J$59:$J$67</c:f>
              <c:numCache>
                <c:formatCode>General</c:formatCode>
                <c:ptCount val="9"/>
                <c:pt idx="0">
                  <c:v>630</c:v>
                </c:pt>
                <c:pt idx="1">
                  <c:v>261</c:v>
                </c:pt>
                <c:pt idx="2">
                  <c:v>336</c:v>
                </c:pt>
                <c:pt idx="3">
                  <c:v>2432</c:v>
                </c:pt>
                <c:pt idx="4">
                  <c:v>820</c:v>
                </c:pt>
                <c:pt idx="5">
                  <c:v>746</c:v>
                </c:pt>
                <c:pt idx="6">
                  <c:v>1118</c:v>
                </c:pt>
                <c:pt idx="7">
                  <c:v>767</c:v>
                </c:pt>
                <c:pt idx="8">
                  <c:v>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40F-42ED-9F6B-F25EA41C9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scatterChart>
        <c:scatterStyle val="lineMarker"/>
        <c:varyColors val="0"/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poly"/>
            <c:order val="3"/>
            <c:intercept val="0"/>
            <c:dispRSqr val="1"/>
            <c:dispEq val="1"/>
            <c:trendlineLbl>
              <c:layout>
                <c:manualLayout>
                  <c:x val="-4.2002695355895459E-2"/>
                  <c:y val="0.56145692024717386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</c:spPr>
            </c:trendlineLbl>
          </c:trendline>
          <c:xVal>
            <c:numRef>
              <c:f>Business!$G$59:$G$67</c:f>
              <c:numCache>
                <c:formatCode>General</c:formatCode>
                <c:ptCount val="9"/>
                <c:pt idx="0">
                  <c:v>2495</c:v>
                </c:pt>
                <c:pt idx="1">
                  <c:v>1969</c:v>
                </c:pt>
                <c:pt idx="2">
                  <c:v>2130</c:v>
                </c:pt>
                <c:pt idx="3">
                  <c:v>5488</c:v>
                </c:pt>
                <c:pt idx="4">
                  <c:v>4581</c:v>
                </c:pt>
                <c:pt idx="5">
                  <c:v>3856</c:v>
                </c:pt>
                <c:pt idx="6">
                  <c:v>4763</c:v>
                </c:pt>
                <c:pt idx="7">
                  <c:v>2310</c:v>
                </c:pt>
                <c:pt idx="8">
                  <c:v>1969</c:v>
                </c:pt>
              </c:numCache>
            </c:numRef>
          </c:xVal>
          <c:yVal>
            <c:numRef>
              <c:f>Business!$K$59:$K$67</c:f>
              <c:numCache>
                <c:formatCode>General</c:formatCode>
                <c:ptCount val="9"/>
                <c:pt idx="1">
                  <c:v>3.92</c:v>
                </c:pt>
                <c:pt idx="2">
                  <c:v>5.6</c:v>
                </c:pt>
                <c:pt idx="3">
                  <c:v>22.4</c:v>
                </c:pt>
                <c:pt idx="4">
                  <c:v>14</c:v>
                </c:pt>
                <c:pt idx="5">
                  <c:v>5.6</c:v>
                </c:pt>
                <c:pt idx="7">
                  <c:v>5.6</c:v>
                </c:pt>
                <c:pt idx="8">
                  <c:v>4.2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40F-42ED-9F6B-F25EA41C9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83888"/>
        <c:axId val="-47958608"/>
      </c:scatterChart>
      <c:valAx>
        <c:axId val="-47965392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Propulsive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valAx>
        <c:axId val="-47958608"/>
        <c:scaling>
          <c:orientation val="minMax"/>
          <c:max val="3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27283888"/>
        <c:crosses val="max"/>
        <c:crossBetween val="midCat"/>
      </c:valAx>
      <c:valAx>
        <c:axId val="-12728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7958608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3392915822388399"/>
          <c:y val="4.0263045859425049E-2"/>
          <c:w val="0.2546698360818106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Propulsive Power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6.2137395845952965E-2"/>
                  <c:y val="-5.7763779527559053E-2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Utility!$G$2:$G$50</c:f>
              <c:numCache>
                <c:formatCode>General</c:formatCode>
                <c:ptCount val="49"/>
                <c:pt idx="0">
                  <c:v>6804</c:v>
                </c:pt>
                <c:pt idx="1">
                  <c:v>3175</c:v>
                </c:pt>
                <c:pt idx="2">
                  <c:v>2200</c:v>
                </c:pt>
                <c:pt idx="3">
                  <c:v>3290</c:v>
                </c:pt>
                <c:pt idx="4">
                  <c:v>2495</c:v>
                </c:pt>
                <c:pt idx="5">
                  <c:v>2200</c:v>
                </c:pt>
                <c:pt idx="6">
                  <c:v>950</c:v>
                </c:pt>
                <c:pt idx="7">
                  <c:v>1723</c:v>
                </c:pt>
                <c:pt idx="8">
                  <c:v>1230</c:v>
                </c:pt>
                <c:pt idx="9">
                  <c:v>3969</c:v>
                </c:pt>
                <c:pt idx="10">
                  <c:v>3402</c:v>
                </c:pt>
                <c:pt idx="11">
                  <c:v>2155</c:v>
                </c:pt>
                <c:pt idx="12">
                  <c:v>4740</c:v>
                </c:pt>
                <c:pt idx="13">
                  <c:v>1134</c:v>
                </c:pt>
                <c:pt idx="14">
                  <c:v>5250</c:v>
                </c:pt>
                <c:pt idx="15">
                  <c:v>1633</c:v>
                </c:pt>
                <c:pt idx="16">
                  <c:v>1723</c:v>
                </c:pt>
                <c:pt idx="17">
                  <c:v>1111</c:v>
                </c:pt>
                <c:pt idx="18">
                  <c:v>5670</c:v>
                </c:pt>
                <c:pt idx="19">
                  <c:v>7257</c:v>
                </c:pt>
                <c:pt idx="20">
                  <c:v>2250</c:v>
                </c:pt>
                <c:pt idx="21">
                  <c:v>1814</c:v>
                </c:pt>
                <c:pt idx="22">
                  <c:v>1785</c:v>
                </c:pt>
                <c:pt idx="23">
                  <c:v>1550</c:v>
                </c:pt>
                <c:pt idx="24">
                  <c:v>4600</c:v>
                </c:pt>
                <c:pt idx="25">
                  <c:v>1315</c:v>
                </c:pt>
                <c:pt idx="26">
                  <c:v>4468</c:v>
                </c:pt>
                <c:pt idx="27">
                  <c:v>3000</c:v>
                </c:pt>
                <c:pt idx="28">
                  <c:v>2100</c:v>
                </c:pt>
                <c:pt idx="29">
                  <c:v>2063</c:v>
                </c:pt>
                <c:pt idx="30">
                  <c:v>3402</c:v>
                </c:pt>
                <c:pt idx="31">
                  <c:v>6000</c:v>
                </c:pt>
                <c:pt idx="32">
                  <c:v>3500</c:v>
                </c:pt>
                <c:pt idx="33">
                  <c:v>6400</c:v>
                </c:pt>
                <c:pt idx="34">
                  <c:v>1400</c:v>
                </c:pt>
                <c:pt idx="35">
                  <c:v>2800</c:v>
                </c:pt>
                <c:pt idx="36">
                  <c:v>1300</c:v>
                </c:pt>
                <c:pt idx="37">
                  <c:v>750</c:v>
                </c:pt>
                <c:pt idx="38">
                  <c:v>2994</c:v>
                </c:pt>
                <c:pt idx="39">
                  <c:v>5670</c:v>
                </c:pt>
                <c:pt idx="40">
                  <c:v>5670</c:v>
                </c:pt>
                <c:pt idx="41">
                  <c:v>2155</c:v>
                </c:pt>
                <c:pt idx="42">
                  <c:v>1656</c:v>
                </c:pt>
                <c:pt idx="43">
                  <c:v>3565</c:v>
                </c:pt>
                <c:pt idx="44">
                  <c:v>4159</c:v>
                </c:pt>
                <c:pt idx="45">
                  <c:v>5670</c:v>
                </c:pt>
                <c:pt idx="46">
                  <c:v>3291</c:v>
                </c:pt>
                <c:pt idx="48">
                  <c:v>6418</c:v>
                </c:pt>
              </c:numCache>
            </c:numRef>
          </c:xVal>
          <c:yVal>
            <c:numRef>
              <c:f>Utility!$J$2:$J$50</c:f>
              <c:numCache>
                <c:formatCode>General</c:formatCode>
                <c:ptCount val="49"/>
                <c:pt idx="0">
                  <c:v>1566</c:v>
                </c:pt>
                <c:pt idx="1">
                  <c:v>626</c:v>
                </c:pt>
                <c:pt idx="2">
                  <c:v>314</c:v>
                </c:pt>
                <c:pt idx="3">
                  <c:v>522</c:v>
                </c:pt>
                <c:pt idx="4">
                  <c:v>448</c:v>
                </c:pt>
                <c:pt idx="5">
                  <c:v>412</c:v>
                </c:pt>
                <c:pt idx="6">
                  <c:v>119.4</c:v>
                </c:pt>
                <c:pt idx="7">
                  <c:v>168</c:v>
                </c:pt>
                <c:pt idx="8">
                  <c:v>147</c:v>
                </c:pt>
                <c:pt idx="9">
                  <c:v>503</c:v>
                </c:pt>
                <c:pt idx="10">
                  <c:v>560</c:v>
                </c:pt>
                <c:pt idx="11">
                  <c:v>335</c:v>
                </c:pt>
                <c:pt idx="12">
                  <c:v>895</c:v>
                </c:pt>
                <c:pt idx="13">
                  <c:v>175</c:v>
                </c:pt>
                <c:pt idx="14">
                  <c:v>735</c:v>
                </c:pt>
                <c:pt idx="15">
                  <c:v>224</c:v>
                </c:pt>
                <c:pt idx="16">
                  <c:v>235</c:v>
                </c:pt>
                <c:pt idx="17">
                  <c:v>306</c:v>
                </c:pt>
                <c:pt idx="18">
                  <c:v>783</c:v>
                </c:pt>
                <c:pt idx="19">
                  <c:v>966</c:v>
                </c:pt>
                <c:pt idx="20">
                  <c:v>298</c:v>
                </c:pt>
                <c:pt idx="21">
                  <c:v>224</c:v>
                </c:pt>
                <c:pt idx="22">
                  <c:v>247</c:v>
                </c:pt>
                <c:pt idx="23">
                  <c:v>224</c:v>
                </c:pt>
                <c:pt idx="24">
                  <c:v>800</c:v>
                </c:pt>
                <c:pt idx="25">
                  <c:v>175</c:v>
                </c:pt>
                <c:pt idx="26">
                  <c:v>746</c:v>
                </c:pt>
                <c:pt idx="27">
                  <c:v>490</c:v>
                </c:pt>
                <c:pt idx="28">
                  <c:v>298</c:v>
                </c:pt>
                <c:pt idx="29">
                  <c:v>298</c:v>
                </c:pt>
                <c:pt idx="30">
                  <c:v>559</c:v>
                </c:pt>
                <c:pt idx="31">
                  <c:v>1160</c:v>
                </c:pt>
                <c:pt idx="32">
                  <c:v>658</c:v>
                </c:pt>
                <c:pt idx="33">
                  <c:v>1020</c:v>
                </c:pt>
                <c:pt idx="34">
                  <c:v>169</c:v>
                </c:pt>
                <c:pt idx="35">
                  <c:v>507</c:v>
                </c:pt>
                <c:pt idx="36">
                  <c:v>147</c:v>
                </c:pt>
                <c:pt idx="37">
                  <c:v>84.5</c:v>
                </c:pt>
                <c:pt idx="38">
                  <c:v>388</c:v>
                </c:pt>
                <c:pt idx="39">
                  <c:v>1268</c:v>
                </c:pt>
                <c:pt idx="40">
                  <c:v>1268</c:v>
                </c:pt>
                <c:pt idx="41">
                  <c:v>164</c:v>
                </c:pt>
                <c:pt idx="42">
                  <c:v>224</c:v>
                </c:pt>
                <c:pt idx="43">
                  <c:v>447</c:v>
                </c:pt>
                <c:pt idx="44">
                  <c:v>507</c:v>
                </c:pt>
                <c:pt idx="45">
                  <c:v>783</c:v>
                </c:pt>
                <c:pt idx="46">
                  <c:v>559</c:v>
                </c:pt>
                <c:pt idx="48">
                  <c:v>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59F-49CF-B55C-986CA3B03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scatterChart>
        <c:scatterStyle val="lineMarker"/>
        <c:varyColors val="0"/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6.4651424920006278E-2"/>
                  <c:y val="0.10283555500444334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</c:spPr>
            </c:trendlineLbl>
          </c:trendline>
          <c:xVal>
            <c:numRef>
              <c:f>Utility!$G$2:$G$50</c:f>
              <c:numCache>
                <c:formatCode>General</c:formatCode>
                <c:ptCount val="49"/>
                <c:pt idx="0">
                  <c:v>6804</c:v>
                </c:pt>
                <c:pt idx="1">
                  <c:v>3175</c:v>
                </c:pt>
                <c:pt idx="2">
                  <c:v>2200</c:v>
                </c:pt>
                <c:pt idx="3">
                  <c:v>3290</c:v>
                </c:pt>
                <c:pt idx="4">
                  <c:v>2495</c:v>
                </c:pt>
                <c:pt idx="5">
                  <c:v>2200</c:v>
                </c:pt>
                <c:pt idx="6">
                  <c:v>950</c:v>
                </c:pt>
                <c:pt idx="7">
                  <c:v>1723</c:v>
                </c:pt>
                <c:pt idx="8">
                  <c:v>1230</c:v>
                </c:pt>
                <c:pt idx="9">
                  <c:v>3969</c:v>
                </c:pt>
                <c:pt idx="10">
                  <c:v>3402</c:v>
                </c:pt>
                <c:pt idx="11">
                  <c:v>2155</c:v>
                </c:pt>
                <c:pt idx="12">
                  <c:v>4740</c:v>
                </c:pt>
                <c:pt idx="13">
                  <c:v>1134</c:v>
                </c:pt>
                <c:pt idx="14">
                  <c:v>5250</c:v>
                </c:pt>
                <c:pt idx="15">
                  <c:v>1633</c:v>
                </c:pt>
                <c:pt idx="16">
                  <c:v>1723</c:v>
                </c:pt>
                <c:pt idx="17">
                  <c:v>1111</c:v>
                </c:pt>
                <c:pt idx="18">
                  <c:v>5670</c:v>
                </c:pt>
                <c:pt idx="19">
                  <c:v>7257</c:v>
                </c:pt>
                <c:pt idx="20">
                  <c:v>2250</c:v>
                </c:pt>
                <c:pt idx="21">
                  <c:v>1814</c:v>
                </c:pt>
                <c:pt idx="22">
                  <c:v>1785</c:v>
                </c:pt>
                <c:pt idx="23">
                  <c:v>1550</c:v>
                </c:pt>
                <c:pt idx="24">
                  <c:v>4600</c:v>
                </c:pt>
                <c:pt idx="25">
                  <c:v>1315</c:v>
                </c:pt>
                <c:pt idx="26">
                  <c:v>4468</c:v>
                </c:pt>
                <c:pt idx="27">
                  <c:v>3000</c:v>
                </c:pt>
                <c:pt idx="28">
                  <c:v>2100</c:v>
                </c:pt>
                <c:pt idx="29">
                  <c:v>2063</c:v>
                </c:pt>
                <c:pt idx="30">
                  <c:v>3402</c:v>
                </c:pt>
                <c:pt idx="31">
                  <c:v>6000</c:v>
                </c:pt>
                <c:pt idx="32">
                  <c:v>3500</c:v>
                </c:pt>
                <c:pt idx="33">
                  <c:v>6400</c:v>
                </c:pt>
                <c:pt idx="34">
                  <c:v>1400</c:v>
                </c:pt>
                <c:pt idx="35">
                  <c:v>2800</c:v>
                </c:pt>
                <c:pt idx="36">
                  <c:v>1300</c:v>
                </c:pt>
                <c:pt idx="37">
                  <c:v>750</c:v>
                </c:pt>
                <c:pt idx="38">
                  <c:v>2994</c:v>
                </c:pt>
                <c:pt idx="39">
                  <c:v>5670</c:v>
                </c:pt>
                <c:pt idx="40">
                  <c:v>5670</c:v>
                </c:pt>
                <c:pt idx="41">
                  <c:v>2155</c:v>
                </c:pt>
                <c:pt idx="42">
                  <c:v>1656</c:v>
                </c:pt>
                <c:pt idx="43">
                  <c:v>3565</c:v>
                </c:pt>
                <c:pt idx="44">
                  <c:v>4159</c:v>
                </c:pt>
                <c:pt idx="45">
                  <c:v>5670</c:v>
                </c:pt>
                <c:pt idx="46">
                  <c:v>3291</c:v>
                </c:pt>
                <c:pt idx="48">
                  <c:v>6418</c:v>
                </c:pt>
              </c:numCache>
            </c:numRef>
          </c:xVal>
          <c:yVal>
            <c:numRef>
              <c:f>Utility!$K$2:$K$50</c:f>
              <c:numCache>
                <c:formatCode>General</c:formatCode>
                <c:ptCount val="49"/>
                <c:pt idx="0">
                  <c:v>16.8</c:v>
                </c:pt>
                <c:pt idx="1">
                  <c:v>3.36</c:v>
                </c:pt>
                <c:pt idx="2">
                  <c:v>2.1</c:v>
                </c:pt>
                <c:pt idx="3">
                  <c:v>0.96</c:v>
                </c:pt>
                <c:pt idx="4">
                  <c:v>5.6</c:v>
                </c:pt>
                <c:pt idx="7">
                  <c:v>1.68</c:v>
                </c:pt>
                <c:pt idx="8">
                  <c:v>0.96</c:v>
                </c:pt>
                <c:pt idx="9">
                  <c:v>5.6</c:v>
                </c:pt>
                <c:pt idx="11">
                  <c:v>1.33</c:v>
                </c:pt>
                <c:pt idx="12">
                  <c:v>25.2</c:v>
                </c:pt>
                <c:pt idx="13">
                  <c:v>0.72</c:v>
                </c:pt>
                <c:pt idx="15">
                  <c:v>2.2799999999999998</c:v>
                </c:pt>
                <c:pt idx="16">
                  <c:v>1.96</c:v>
                </c:pt>
                <c:pt idx="18">
                  <c:v>6</c:v>
                </c:pt>
                <c:pt idx="20">
                  <c:v>2.0999999999999996</c:v>
                </c:pt>
                <c:pt idx="21">
                  <c:v>1.33</c:v>
                </c:pt>
                <c:pt idx="22">
                  <c:v>3.92</c:v>
                </c:pt>
                <c:pt idx="23">
                  <c:v>1.96</c:v>
                </c:pt>
                <c:pt idx="26">
                  <c:v>7</c:v>
                </c:pt>
                <c:pt idx="27">
                  <c:v>8.4</c:v>
                </c:pt>
                <c:pt idx="28">
                  <c:v>3.92</c:v>
                </c:pt>
                <c:pt idx="30">
                  <c:v>6</c:v>
                </c:pt>
                <c:pt idx="38">
                  <c:v>3.36</c:v>
                </c:pt>
                <c:pt idx="39">
                  <c:v>14</c:v>
                </c:pt>
                <c:pt idx="40">
                  <c:v>14</c:v>
                </c:pt>
                <c:pt idx="41">
                  <c:v>4.76</c:v>
                </c:pt>
                <c:pt idx="42">
                  <c:v>2.8</c:v>
                </c:pt>
                <c:pt idx="43">
                  <c:v>0.84</c:v>
                </c:pt>
                <c:pt idx="44">
                  <c:v>6</c:v>
                </c:pt>
                <c:pt idx="45">
                  <c:v>7.2</c:v>
                </c:pt>
                <c:pt idx="47">
                  <c:v>1.2</c:v>
                </c:pt>
                <c:pt idx="48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59F-49CF-B55C-986CA3B03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83888"/>
        <c:axId val="-47958608"/>
      </c:scatterChart>
      <c:valAx>
        <c:axId val="-47965392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Propulsive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valAx>
        <c:axId val="-47958608"/>
        <c:scaling>
          <c:orientation val="minMax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27283888"/>
        <c:crosses val="max"/>
        <c:crossBetween val="midCat"/>
        <c:majorUnit val="3"/>
      </c:valAx>
      <c:valAx>
        <c:axId val="-12728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7958608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3392915822388399"/>
          <c:y val="4.0263045859425049E-2"/>
          <c:w val="0.2546698360818106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Propulsive Power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-4.1924602090563638E-2"/>
                  <c:y val="3.3954409242151817E-2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Amphibian!$G$4:$G$33</c:f>
              <c:numCache>
                <c:formatCode>General</c:formatCode>
                <c:ptCount val="30"/>
                <c:pt idx="0">
                  <c:v>19890</c:v>
                </c:pt>
                <c:pt idx="1">
                  <c:v>2720</c:v>
                </c:pt>
                <c:pt idx="2">
                  <c:v>2722</c:v>
                </c:pt>
                <c:pt idx="3">
                  <c:v>1400</c:v>
                </c:pt>
                <c:pt idx="4">
                  <c:v>1565</c:v>
                </c:pt>
                <c:pt idx="5">
                  <c:v>1053</c:v>
                </c:pt>
                <c:pt idx="6">
                  <c:v>1450</c:v>
                </c:pt>
                <c:pt idx="7">
                  <c:v>675</c:v>
                </c:pt>
                <c:pt idx="8">
                  <c:v>650</c:v>
                </c:pt>
                <c:pt idx="9">
                  <c:v>650</c:v>
                </c:pt>
                <c:pt idx="10">
                  <c:v>600</c:v>
                </c:pt>
                <c:pt idx="11">
                  <c:v>495</c:v>
                </c:pt>
                <c:pt idx="12">
                  <c:v>490</c:v>
                </c:pt>
                <c:pt idx="13">
                  <c:v>1680</c:v>
                </c:pt>
                <c:pt idx="14">
                  <c:v>495</c:v>
                </c:pt>
                <c:pt idx="15">
                  <c:v>600</c:v>
                </c:pt>
                <c:pt idx="16">
                  <c:v>550</c:v>
                </c:pt>
                <c:pt idx="17">
                  <c:v>495</c:v>
                </c:pt>
                <c:pt idx="18">
                  <c:v>43000</c:v>
                </c:pt>
                <c:pt idx="19">
                  <c:v>750</c:v>
                </c:pt>
                <c:pt idx="20">
                  <c:v>1800</c:v>
                </c:pt>
                <c:pt idx="21">
                  <c:v>1460</c:v>
                </c:pt>
                <c:pt idx="22">
                  <c:v>750</c:v>
                </c:pt>
                <c:pt idx="23">
                  <c:v>1700</c:v>
                </c:pt>
                <c:pt idx="24">
                  <c:v>650</c:v>
                </c:pt>
                <c:pt idx="25">
                  <c:v>600</c:v>
                </c:pt>
                <c:pt idx="26">
                  <c:v>2540</c:v>
                </c:pt>
                <c:pt idx="27">
                  <c:v>649</c:v>
                </c:pt>
                <c:pt idx="28">
                  <c:v>649</c:v>
                </c:pt>
                <c:pt idx="29">
                  <c:v>1542</c:v>
                </c:pt>
              </c:numCache>
            </c:numRef>
          </c:xVal>
          <c:yVal>
            <c:numRef>
              <c:f>Amphibian!$J$4:$J$33</c:f>
              <c:numCache>
                <c:formatCode>General</c:formatCode>
                <c:ptCount val="30"/>
                <c:pt idx="0">
                  <c:v>3550</c:v>
                </c:pt>
                <c:pt idx="1">
                  <c:v>390</c:v>
                </c:pt>
                <c:pt idx="2">
                  <c:v>448</c:v>
                </c:pt>
                <c:pt idx="3">
                  <c:v>180</c:v>
                </c:pt>
                <c:pt idx="4">
                  <c:v>89</c:v>
                </c:pt>
                <c:pt idx="5">
                  <c:v>147</c:v>
                </c:pt>
                <c:pt idx="6">
                  <c:v>147</c:v>
                </c:pt>
                <c:pt idx="7">
                  <c:v>95.6</c:v>
                </c:pt>
                <c:pt idx="8">
                  <c:v>73.5</c:v>
                </c:pt>
                <c:pt idx="9">
                  <c:v>73.5</c:v>
                </c:pt>
                <c:pt idx="10">
                  <c:v>73.5</c:v>
                </c:pt>
                <c:pt idx="11">
                  <c:v>73.5</c:v>
                </c:pt>
                <c:pt idx="12">
                  <c:v>59.6</c:v>
                </c:pt>
                <c:pt idx="13">
                  <c:v>231</c:v>
                </c:pt>
                <c:pt idx="14">
                  <c:v>73.5</c:v>
                </c:pt>
                <c:pt idx="15">
                  <c:v>73.5</c:v>
                </c:pt>
                <c:pt idx="16">
                  <c:v>73.5</c:v>
                </c:pt>
                <c:pt idx="17">
                  <c:v>47.8</c:v>
                </c:pt>
                <c:pt idx="18">
                  <c:v>13692</c:v>
                </c:pt>
                <c:pt idx="19">
                  <c:v>100</c:v>
                </c:pt>
                <c:pt idx="20">
                  <c:v>268</c:v>
                </c:pt>
                <c:pt idx="21">
                  <c:v>147</c:v>
                </c:pt>
                <c:pt idx="22">
                  <c:v>73.5</c:v>
                </c:pt>
                <c:pt idx="23">
                  <c:v>239</c:v>
                </c:pt>
                <c:pt idx="24">
                  <c:v>73.5</c:v>
                </c:pt>
                <c:pt idx="25">
                  <c:v>84.5</c:v>
                </c:pt>
                <c:pt idx="26">
                  <c:v>540</c:v>
                </c:pt>
                <c:pt idx="27">
                  <c:v>73.5</c:v>
                </c:pt>
                <c:pt idx="28">
                  <c:v>73.5</c:v>
                </c:pt>
                <c:pt idx="29">
                  <c:v>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5B8-4003-BF75-388B145F4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scatterChart>
        <c:scatterStyle val="lineMarker"/>
        <c:varyColors val="0"/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6.6178648093732501E-2"/>
                  <c:y val="0.2595791431582864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</c:spPr>
            </c:trendlineLbl>
          </c:trendline>
          <c:xVal>
            <c:numRef>
              <c:f>Amphibian!$G$4:$G$33</c:f>
              <c:numCache>
                <c:formatCode>General</c:formatCode>
                <c:ptCount val="30"/>
                <c:pt idx="0">
                  <c:v>19890</c:v>
                </c:pt>
                <c:pt idx="1">
                  <c:v>2720</c:v>
                </c:pt>
                <c:pt idx="2">
                  <c:v>2722</c:v>
                </c:pt>
                <c:pt idx="3">
                  <c:v>1400</c:v>
                </c:pt>
                <c:pt idx="4">
                  <c:v>1565</c:v>
                </c:pt>
                <c:pt idx="5">
                  <c:v>1053</c:v>
                </c:pt>
                <c:pt idx="6">
                  <c:v>1450</c:v>
                </c:pt>
                <c:pt idx="7">
                  <c:v>675</c:v>
                </c:pt>
                <c:pt idx="8">
                  <c:v>650</c:v>
                </c:pt>
                <c:pt idx="9">
                  <c:v>650</c:v>
                </c:pt>
                <c:pt idx="10">
                  <c:v>600</c:v>
                </c:pt>
                <c:pt idx="11">
                  <c:v>495</c:v>
                </c:pt>
                <c:pt idx="12">
                  <c:v>490</c:v>
                </c:pt>
                <c:pt idx="13">
                  <c:v>1680</c:v>
                </c:pt>
                <c:pt idx="14">
                  <c:v>495</c:v>
                </c:pt>
                <c:pt idx="15">
                  <c:v>600</c:v>
                </c:pt>
                <c:pt idx="16">
                  <c:v>550</c:v>
                </c:pt>
                <c:pt idx="17">
                  <c:v>495</c:v>
                </c:pt>
                <c:pt idx="18">
                  <c:v>43000</c:v>
                </c:pt>
                <c:pt idx="19">
                  <c:v>750</c:v>
                </c:pt>
                <c:pt idx="20">
                  <c:v>1800</c:v>
                </c:pt>
                <c:pt idx="21">
                  <c:v>1460</c:v>
                </c:pt>
                <c:pt idx="22">
                  <c:v>750</c:v>
                </c:pt>
                <c:pt idx="23">
                  <c:v>1700</c:v>
                </c:pt>
                <c:pt idx="24">
                  <c:v>650</c:v>
                </c:pt>
                <c:pt idx="25">
                  <c:v>600</c:v>
                </c:pt>
                <c:pt idx="26">
                  <c:v>2540</c:v>
                </c:pt>
                <c:pt idx="27">
                  <c:v>649</c:v>
                </c:pt>
                <c:pt idx="28">
                  <c:v>649</c:v>
                </c:pt>
                <c:pt idx="29">
                  <c:v>1542</c:v>
                </c:pt>
              </c:numCache>
            </c:numRef>
          </c:xVal>
          <c:yVal>
            <c:numRef>
              <c:f>Amphibian!$K$4:$K$33</c:f>
              <c:numCache>
                <c:formatCode>General</c:formatCode>
                <c:ptCount val="30"/>
                <c:pt idx="0">
                  <c:v>22.4</c:v>
                </c:pt>
                <c:pt idx="1">
                  <c:v>1</c:v>
                </c:pt>
                <c:pt idx="18">
                  <c:v>90</c:v>
                </c:pt>
                <c:pt idx="25">
                  <c:v>3</c:v>
                </c:pt>
                <c:pt idx="28">
                  <c:v>0.216</c:v>
                </c:pt>
                <c:pt idx="29">
                  <c:v>1.68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5B8-4003-BF75-388B145F4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83888"/>
        <c:axId val="-47958608"/>
      </c:scatterChart>
      <c:valAx>
        <c:axId val="-47965392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Propulsive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valAx>
        <c:axId val="-47958608"/>
        <c:scaling>
          <c:orientation val="minMax"/>
          <c:max val="16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27283888"/>
        <c:crosses val="max"/>
        <c:crossBetween val="midCat"/>
      </c:valAx>
      <c:valAx>
        <c:axId val="-12728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7958608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3392915822388399"/>
          <c:y val="4.0263045859425049E-2"/>
          <c:w val="0.2546698360818106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Propulsive Power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5.0630368045938241E-2"/>
                  <c:y val="5.0459834253001844E-4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Lightplane!$G$2:$G$184</c:f>
              <c:numCache>
                <c:formatCode>General</c:formatCode>
                <c:ptCount val="183"/>
                <c:pt idx="0">
                  <c:v>1550</c:v>
                </c:pt>
                <c:pt idx="1">
                  <c:v>1406</c:v>
                </c:pt>
                <c:pt idx="2">
                  <c:v>1200</c:v>
                </c:pt>
                <c:pt idx="3">
                  <c:v>1200</c:v>
                </c:pt>
                <c:pt idx="4">
                  <c:v>1050</c:v>
                </c:pt>
                <c:pt idx="5">
                  <c:v>560</c:v>
                </c:pt>
                <c:pt idx="6">
                  <c:v>1338</c:v>
                </c:pt>
                <c:pt idx="7">
                  <c:v>1585</c:v>
                </c:pt>
                <c:pt idx="8">
                  <c:v>800</c:v>
                </c:pt>
                <c:pt idx="9">
                  <c:v>700</c:v>
                </c:pt>
                <c:pt idx="10">
                  <c:v>975</c:v>
                </c:pt>
                <c:pt idx="11">
                  <c:v>990</c:v>
                </c:pt>
                <c:pt idx="12">
                  <c:v>645</c:v>
                </c:pt>
                <c:pt idx="13">
                  <c:v>975</c:v>
                </c:pt>
                <c:pt idx="14">
                  <c:v>600</c:v>
                </c:pt>
                <c:pt idx="15">
                  <c:v>599</c:v>
                </c:pt>
                <c:pt idx="16">
                  <c:v>595</c:v>
                </c:pt>
                <c:pt idx="17">
                  <c:v>794</c:v>
                </c:pt>
                <c:pt idx="18">
                  <c:v>598</c:v>
                </c:pt>
                <c:pt idx="19">
                  <c:v>472.5</c:v>
                </c:pt>
                <c:pt idx="20">
                  <c:v>600</c:v>
                </c:pt>
                <c:pt idx="21">
                  <c:v>770</c:v>
                </c:pt>
                <c:pt idx="22">
                  <c:v>850</c:v>
                </c:pt>
                <c:pt idx="23">
                  <c:v>771</c:v>
                </c:pt>
                <c:pt idx="24">
                  <c:v>835</c:v>
                </c:pt>
                <c:pt idx="25">
                  <c:v>750</c:v>
                </c:pt>
                <c:pt idx="26">
                  <c:v>1250</c:v>
                </c:pt>
                <c:pt idx="27">
                  <c:v>1480</c:v>
                </c:pt>
                <c:pt idx="28">
                  <c:v>1150</c:v>
                </c:pt>
                <c:pt idx="29">
                  <c:v>800</c:v>
                </c:pt>
                <c:pt idx="30">
                  <c:v>472.5</c:v>
                </c:pt>
                <c:pt idx="31">
                  <c:v>1203</c:v>
                </c:pt>
                <c:pt idx="32">
                  <c:v>820</c:v>
                </c:pt>
                <c:pt idx="33">
                  <c:v>1555</c:v>
                </c:pt>
                <c:pt idx="34">
                  <c:v>1080</c:v>
                </c:pt>
                <c:pt idx="35">
                  <c:v>970</c:v>
                </c:pt>
                <c:pt idx="36">
                  <c:v>735</c:v>
                </c:pt>
                <c:pt idx="37">
                  <c:v>985</c:v>
                </c:pt>
                <c:pt idx="38">
                  <c:v>1000</c:v>
                </c:pt>
                <c:pt idx="39">
                  <c:v>1100</c:v>
                </c:pt>
                <c:pt idx="40">
                  <c:v>1150</c:v>
                </c:pt>
                <c:pt idx="41">
                  <c:v>820</c:v>
                </c:pt>
                <c:pt idx="42">
                  <c:v>950</c:v>
                </c:pt>
                <c:pt idx="43">
                  <c:v>1440</c:v>
                </c:pt>
                <c:pt idx="44">
                  <c:v>850</c:v>
                </c:pt>
                <c:pt idx="45">
                  <c:v>1400</c:v>
                </c:pt>
                <c:pt idx="46">
                  <c:v>1160</c:v>
                </c:pt>
                <c:pt idx="47">
                  <c:v>1155</c:v>
                </c:pt>
                <c:pt idx="48">
                  <c:v>1633</c:v>
                </c:pt>
                <c:pt idx="49">
                  <c:v>700</c:v>
                </c:pt>
                <c:pt idx="50">
                  <c:v>800</c:v>
                </c:pt>
                <c:pt idx="51">
                  <c:v>1315</c:v>
                </c:pt>
                <c:pt idx="52">
                  <c:v>1200</c:v>
                </c:pt>
                <c:pt idx="53">
                  <c:v>1620</c:v>
                </c:pt>
                <c:pt idx="54">
                  <c:v>1157</c:v>
                </c:pt>
                <c:pt idx="55">
                  <c:v>1406</c:v>
                </c:pt>
                <c:pt idx="56">
                  <c:v>1633</c:v>
                </c:pt>
                <c:pt idx="57">
                  <c:v>1383</c:v>
                </c:pt>
                <c:pt idx="58">
                  <c:v>1542</c:v>
                </c:pt>
                <c:pt idx="59">
                  <c:v>1530</c:v>
                </c:pt>
                <c:pt idx="60">
                  <c:v>1156</c:v>
                </c:pt>
                <c:pt idx="61">
                  <c:v>1247</c:v>
                </c:pt>
                <c:pt idx="62">
                  <c:v>544</c:v>
                </c:pt>
                <c:pt idx="63">
                  <c:v>600</c:v>
                </c:pt>
                <c:pt idx="64">
                  <c:v>600</c:v>
                </c:pt>
                <c:pt idx="65">
                  <c:v>600</c:v>
                </c:pt>
                <c:pt idx="66">
                  <c:v>600</c:v>
                </c:pt>
                <c:pt idx="67">
                  <c:v>600</c:v>
                </c:pt>
                <c:pt idx="68">
                  <c:v>450</c:v>
                </c:pt>
                <c:pt idx="69">
                  <c:v>450</c:v>
                </c:pt>
                <c:pt idx="70">
                  <c:v>598</c:v>
                </c:pt>
                <c:pt idx="71">
                  <c:v>472.5</c:v>
                </c:pt>
                <c:pt idx="72">
                  <c:v>472.5</c:v>
                </c:pt>
                <c:pt idx="73">
                  <c:v>600</c:v>
                </c:pt>
                <c:pt idx="74">
                  <c:v>600</c:v>
                </c:pt>
                <c:pt idx="75">
                  <c:v>450</c:v>
                </c:pt>
                <c:pt idx="76">
                  <c:v>600</c:v>
                </c:pt>
                <c:pt idx="77">
                  <c:v>655</c:v>
                </c:pt>
                <c:pt idx="78">
                  <c:v>750</c:v>
                </c:pt>
                <c:pt idx="79">
                  <c:v>600</c:v>
                </c:pt>
                <c:pt idx="80">
                  <c:v>472.5</c:v>
                </c:pt>
                <c:pt idx="81">
                  <c:v>472.5</c:v>
                </c:pt>
                <c:pt idx="82">
                  <c:v>750</c:v>
                </c:pt>
                <c:pt idx="83">
                  <c:v>600</c:v>
                </c:pt>
                <c:pt idx="84">
                  <c:v>595</c:v>
                </c:pt>
                <c:pt idx="85">
                  <c:v>472.5</c:v>
                </c:pt>
                <c:pt idx="86">
                  <c:v>450</c:v>
                </c:pt>
                <c:pt idx="87">
                  <c:v>560</c:v>
                </c:pt>
                <c:pt idx="88">
                  <c:v>450</c:v>
                </c:pt>
                <c:pt idx="89">
                  <c:v>475</c:v>
                </c:pt>
                <c:pt idx="90">
                  <c:v>600</c:v>
                </c:pt>
                <c:pt idx="91">
                  <c:v>450</c:v>
                </c:pt>
                <c:pt idx="92">
                  <c:v>600</c:v>
                </c:pt>
                <c:pt idx="93">
                  <c:v>450</c:v>
                </c:pt>
                <c:pt idx="94">
                  <c:v>600</c:v>
                </c:pt>
                <c:pt idx="95">
                  <c:v>550</c:v>
                </c:pt>
                <c:pt idx="96">
                  <c:v>582</c:v>
                </c:pt>
                <c:pt idx="97">
                  <c:v>600</c:v>
                </c:pt>
                <c:pt idx="98">
                  <c:v>600</c:v>
                </c:pt>
                <c:pt idx="99">
                  <c:v>600</c:v>
                </c:pt>
                <c:pt idx="100">
                  <c:v>750</c:v>
                </c:pt>
                <c:pt idx="101">
                  <c:v>599</c:v>
                </c:pt>
                <c:pt idx="102">
                  <c:v>794</c:v>
                </c:pt>
                <c:pt idx="103">
                  <c:v>794</c:v>
                </c:pt>
                <c:pt idx="104">
                  <c:v>816</c:v>
                </c:pt>
                <c:pt idx="105">
                  <c:v>885</c:v>
                </c:pt>
                <c:pt idx="106">
                  <c:v>599</c:v>
                </c:pt>
                <c:pt idx="107">
                  <c:v>646</c:v>
                </c:pt>
                <c:pt idx="108">
                  <c:v>1021</c:v>
                </c:pt>
                <c:pt idx="109">
                  <c:v>1043</c:v>
                </c:pt>
                <c:pt idx="110">
                  <c:v>599</c:v>
                </c:pt>
                <c:pt idx="111">
                  <c:v>794</c:v>
                </c:pt>
                <c:pt idx="112">
                  <c:v>450</c:v>
                </c:pt>
                <c:pt idx="113">
                  <c:v>599</c:v>
                </c:pt>
                <c:pt idx="114">
                  <c:v>599</c:v>
                </c:pt>
                <c:pt idx="115">
                  <c:v>599</c:v>
                </c:pt>
                <c:pt idx="116">
                  <c:v>762</c:v>
                </c:pt>
                <c:pt idx="117">
                  <c:v>1846</c:v>
                </c:pt>
                <c:pt idx="118">
                  <c:v>3402</c:v>
                </c:pt>
                <c:pt idx="119">
                  <c:v>1588</c:v>
                </c:pt>
                <c:pt idx="120">
                  <c:v>1451</c:v>
                </c:pt>
                <c:pt idx="121">
                  <c:v>1950</c:v>
                </c:pt>
                <c:pt idx="122">
                  <c:v>1588</c:v>
                </c:pt>
                <c:pt idx="123">
                  <c:v>600</c:v>
                </c:pt>
                <c:pt idx="124">
                  <c:v>1066</c:v>
                </c:pt>
                <c:pt idx="125">
                  <c:v>1620</c:v>
                </c:pt>
                <c:pt idx="126">
                  <c:v>1043</c:v>
                </c:pt>
                <c:pt idx="127">
                  <c:v>800</c:v>
                </c:pt>
                <c:pt idx="128">
                  <c:v>748</c:v>
                </c:pt>
                <c:pt idx="129">
                  <c:v>1043</c:v>
                </c:pt>
                <c:pt idx="130">
                  <c:v>228</c:v>
                </c:pt>
                <c:pt idx="131">
                  <c:v>700</c:v>
                </c:pt>
                <c:pt idx="132">
                  <c:v>431</c:v>
                </c:pt>
                <c:pt idx="133">
                  <c:v>855</c:v>
                </c:pt>
                <c:pt idx="134">
                  <c:v>265</c:v>
                </c:pt>
                <c:pt idx="135">
                  <c:v>235</c:v>
                </c:pt>
                <c:pt idx="136">
                  <c:v>272</c:v>
                </c:pt>
                <c:pt idx="137">
                  <c:v>450</c:v>
                </c:pt>
                <c:pt idx="138">
                  <c:v>231</c:v>
                </c:pt>
                <c:pt idx="139">
                  <c:v>413</c:v>
                </c:pt>
                <c:pt idx="140">
                  <c:v>420</c:v>
                </c:pt>
                <c:pt idx="141">
                  <c:v>295</c:v>
                </c:pt>
                <c:pt idx="142">
                  <c:v>400</c:v>
                </c:pt>
                <c:pt idx="144">
                  <c:v>559</c:v>
                </c:pt>
                <c:pt idx="145">
                  <c:v>553</c:v>
                </c:pt>
                <c:pt idx="146">
                  <c:v>463</c:v>
                </c:pt>
                <c:pt idx="147">
                  <c:v>658</c:v>
                </c:pt>
                <c:pt idx="148">
                  <c:v>1497</c:v>
                </c:pt>
                <c:pt idx="149">
                  <c:v>472.5</c:v>
                </c:pt>
                <c:pt idx="150">
                  <c:v>500</c:v>
                </c:pt>
                <c:pt idx="151">
                  <c:v>240</c:v>
                </c:pt>
                <c:pt idx="152">
                  <c:v>227</c:v>
                </c:pt>
                <c:pt idx="153">
                  <c:v>450</c:v>
                </c:pt>
                <c:pt idx="155">
                  <c:v>1043</c:v>
                </c:pt>
                <c:pt idx="156">
                  <c:v>431</c:v>
                </c:pt>
                <c:pt idx="157">
                  <c:v>450</c:v>
                </c:pt>
                <c:pt idx="158">
                  <c:v>998</c:v>
                </c:pt>
                <c:pt idx="159">
                  <c:v>645</c:v>
                </c:pt>
                <c:pt idx="160">
                  <c:v>748</c:v>
                </c:pt>
                <c:pt idx="161">
                  <c:v>816</c:v>
                </c:pt>
                <c:pt idx="162">
                  <c:v>600</c:v>
                </c:pt>
                <c:pt idx="163">
                  <c:v>621</c:v>
                </c:pt>
                <c:pt idx="164">
                  <c:v>569</c:v>
                </c:pt>
                <c:pt idx="165">
                  <c:v>450</c:v>
                </c:pt>
                <c:pt idx="166">
                  <c:v>450</c:v>
                </c:pt>
                <c:pt idx="167">
                  <c:v>580</c:v>
                </c:pt>
                <c:pt idx="168">
                  <c:v>750</c:v>
                </c:pt>
                <c:pt idx="169">
                  <c:v>450</c:v>
                </c:pt>
                <c:pt idx="170">
                  <c:v>472.5</c:v>
                </c:pt>
                <c:pt idx="171">
                  <c:v>600</c:v>
                </c:pt>
                <c:pt idx="172">
                  <c:v>544</c:v>
                </c:pt>
                <c:pt idx="173">
                  <c:v>522</c:v>
                </c:pt>
                <c:pt idx="174">
                  <c:v>420</c:v>
                </c:pt>
                <c:pt idx="175">
                  <c:v>431</c:v>
                </c:pt>
                <c:pt idx="176">
                  <c:v>450</c:v>
                </c:pt>
                <c:pt idx="177">
                  <c:v>480</c:v>
                </c:pt>
                <c:pt idx="178">
                  <c:v>600</c:v>
                </c:pt>
                <c:pt idx="179">
                  <c:v>472.5</c:v>
                </c:pt>
                <c:pt idx="180">
                  <c:v>472.5</c:v>
                </c:pt>
                <c:pt idx="181">
                  <c:v>544</c:v>
                </c:pt>
                <c:pt idx="182">
                  <c:v>530</c:v>
                </c:pt>
              </c:numCache>
            </c:numRef>
          </c:xVal>
          <c:yVal>
            <c:numRef>
              <c:f>Lightplane!$J$2:$J$184</c:f>
              <c:numCache>
                <c:formatCode>General</c:formatCode>
                <c:ptCount val="183"/>
                <c:pt idx="0">
                  <c:v>261</c:v>
                </c:pt>
                <c:pt idx="1">
                  <c:v>172</c:v>
                </c:pt>
                <c:pt idx="2">
                  <c:v>134</c:v>
                </c:pt>
                <c:pt idx="3">
                  <c:v>134</c:v>
                </c:pt>
                <c:pt idx="4">
                  <c:v>119</c:v>
                </c:pt>
                <c:pt idx="5">
                  <c:v>89</c:v>
                </c:pt>
                <c:pt idx="6">
                  <c:v>205</c:v>
                </c:pt>
                <c:pt idx="7">
                  <c:v>261</c:v>
                </c:pt>
                <c:pt idx="8">
                  <c:v>88</c:v>
                </c:pt>
                <c:pt idx="9">
                  <c:v>149</c:v>
                </c:pt>
                <c:pt idx="10">
                  <c:v>194</c:v>
                </c:pt>
                <c:pt idx="11">
                  <c:v>134</c:v>
                </c:pt>
                <c:pt idx="12">
                  <c:v>73.5</c:v>
                </c:pt>
                <c:pt idx="13">
                  <c:v>134</c:v>
                </c:pt>
                <c:pt idx="14">
                  <c:v>59.6</c:v>
                </c:pt>
                <c:pt idx="15">
                  <c:v>74.599999999999994</c:v>
                </c:pt>
                <c:pt idx="16">
                  <c:v>73.5</c:v>
                </c:pt>
                <c:pt idx="17">
                  <c:v>93</c:v>
                </c:pt>
                <c:pt idx="18">
                  <c:v>73.5</c:v>
                </c:pt>
                <c:pt idx="19">
                  <c:v>73.5</c:v>
                </c:pt>
                <c:pt idx="20">
                  <c:v>73.5</c:v>
                </c:pt>
                <c:pt idx="21">
                  <c:v>73.5</c:v>
                </c:pt>
                <c:pt idx="22">
                  <c:v>84.5</c:v>
                </c:pt>
                <c:pt idx="23">
                  <c:v>194</c:v>
                </c:pt>
                <c:pt idx="24">
                  <c:v>194</c:v>
                </c:pt>
                <c:pt idx="25">
                  <c:v>134</c:v>
                </c:pt>
                <c:pt idx="26">
                  <c:v>224</c:v>
                </c:pt>
                <c:pt idx="27">
                  <c:v>261</c:v>
                </c:pt>
                <c:pt idx="28">
                  <c:v>125.5</c:v>
                </c:pt>
                <c:pt idx="29">
                  <c:v>93</c:v>
                </c:pt>
                <c:pt idx="30">
                  <c:v>73.5</c:v>
                </c:pt>
                <c:pt idx="31">
                  <c:v>156</c:v>
                </c:pt>
                <c:pt idx="32">
                  <c:v>73.5</c:v>
                </c:pt>
                <c:pt idx="33">
                  <c:v>235</c:v>
                </c:pt>
                <c:pt idx="34">
                  <c:v>175</c:v>
                </c:pt>
                <c:pt idx="35">
                  <c:v>149</c:v>
                </c:pt>
                <c:pt idx="36">
                  <c:v>73.5</c:v>
                </c:pt>
                <c:pt idx="37">
                  <c:v>93</c:v>
                </c:pt>
                <c:pt idx="38">
                  <c:v>104</c:v>
                </c:pt>
                <c:pt idx="39">
                  <c:v>134</c:v>
                </c:pt>
                <c:pt idx="40">
                  <c:v>149</c:v>
                </c:pt>
                <c:pt idx="41">
                  <c:v>224</c:v>
                </c:pt>
                <c:pt idx="42">
                  <c:v>235</c:v>
                </c:pt>
                <c:pt idx="43">
                  <c:v>194</c:v>
                </c:pt>
                <c:pt idx="44">
                  <c:v>235</c:v>
                </c:pt>
                <c:pt idx="45">
                  <c:v>194</c:v>
                </c:pt>
                <c:pt idx="46">
                  <c:v>134</c:v>
                </c:pt>
                <c:pt idx="47">
                  <c:v>134</c:v>
                </c:pt>
                <c:pt idx="48">
                  <c:v>235</c:v>
                </c:pt>
                <c:pt idx="50">
                  <c:v>119</c:v>
                </c:pt>
                <c:pt idx="51">
                  <c:v>157</c:v>
                </c:pt>
                <c:pt idx="52">
                  <c:v>149</c:v>
                </c:pt>
                <c:pt idx="53">
                  <c:v>194</c:v>
                </c:pt>
                <c:pt idx="54">
                  <c:v>134</c:v>
                </c:pt>
                <c:pt idx="55">
                  <c:v>175.2</c:v>
                </c:pt>
                <c:pt idx="56">
                  <c:v>231</c:v>
                </c:pt>
                <c:pt idx="57">
                  <c:v>149</c:v>
                </c:pt>
                <c:pt idx="58">
                  <c:v>231</c:v>
                </c:pt>
                <c:pt idx="59">
                  <c:v>208.8</c:v>
                </c:pt>
                <c:pt idx="60">
                  <c:v>134</c:v>
                </c:pt>
                <c:pt idx="61">
                  <c:v>149</c:v>
                </c:pt>
                <c:pt idx="62">
                  <c:v>89</c:v>
                </c:pt>
                <c:pt idx="63">
                  <c:v>73.5</c:v>
                </c:pt>
                <c:pt idx="64">
                  <c:v>23.5</c:v>
                </c:pt>
                <c:pt idx="65">
                  <c:v>79.8</c:v>
                </c:pt>
                <c:pt idx="66">
                  <c:v>59.6</c:v>
                </c:pt>
                <c:pt idx="67">
                  <c:v>73.5</c:v>
                </c:pt>
                <c:pt idx="68">
                  <c:v>58.8</c:v>
                </c:pt>
                <c:pt idx="69">
                  <c:v>73.5</c:v>
                </c:pt>
                <c:pt idx="70">
                  <c:v>73.5</c:v>
                </c:pt>
                <c:pt idx="71">
                  <c:v>73.5</c:v>
                </c:pt>
                <c:pt idx="72">
                  <c:v>59.6</c:v>
                </c:pt>
                <c:pt idx="73">
                  <c:v>73.5</c:v>
                </c:pt>
                <c:pt idx="74">
                  <c:v>59.6</c:v>
                </c:pt>
                <c:pt idx="75">
                  <c:v>59.6</c:v>
                </c:pt>
                <c:pt idx="76">
                  <c:v>73.5</c:v>
                </c:pt>
                <c:pt idx="77">
                  <c:v>59.6</c:v>
                </c:pt>
                <c:pt idx="78">
                  <c:v>73.5</c:v>
                </c:pt>
                <c:pt idx="79">
                  <c:v>59.6</c:v>
                </c:pt>
                <c:pt idx="80">
                  <c:v>59.6</c:v>
                </c:pt>
                <c:pt idx="81">
                  <c:v>79.7</c:v>
                </c:pt>
                <c:pt idx="82">
                  <c:v>84.6</c:v>
                </c:pt>
                <c:pt idx="83">
                  <c:v>73.5</c:v>
                </c:pt>
                <c:pt idx="84">
                  <c:v>73.5</c:v>
                </c:pt>
                <c:pt idx="85">
                  <c:v>73.5</c:v>
                </c:pt>
                <c:pt idx="86">
                  <c:v>73.5</c:v>
                </c:pt>
                <c:pt idx="87">
                  <c:v>73.5</c:v>
                </c:pt>
                <c:pt idx="88">
                  <c:v>73.5</c:v>
                </c:pt>
                <c:pt idx="89">
                  <c:v>89.5</c:v>
                </c:pt>
                <c:pt idx="90">
                  <c:v>73.5</c:v>
                </c:pt>
                <c:pt idx="91">
                  <c:v>73.5</c:v>
                </c:pt>
                <c:pt idx="92">
                  <c:v>73.5</c:v>
                </c:pt>
                <c:pt idx="93">
                  <c:v>59.6</c:v>
                </c:pt>
                <c:pt idx="94">
                  <c:v>73.5</c:v>
                </c:pt>
                <c:pt idx="95">
                  <c:v>59.6</c:v>
                </c:pt>
                <c:pt idx="96">
                  <c:v>73.5</c:v>
                </c:pt>
                <c:pt idx="97">
                  <c:v>73.5</c:v>
                </c:pt>
                <c:pt idx="98">
                  <c:v>73.5</c:v>
                </c:pt>
                <c:pt idx="99">
                  <c:v>73.5</c:v>
                </c:pt>
                <c:pt idx="100">
                  <c:v>84.5</c:v>
                </c:pt>
                <c:pt idx="101">
                  <c:v>74.599999999999994</c:v>
                </c:pt>
                <c:pt idx="102">
                  <c:v>88</c:v>
                </c:pt>
                <c:pt idx="103">
                  <c:v>119</c:v>
                </c:pt>
                <c:pt idx="104">
                  <c:v>88</c:v>
                </c:pt>
                <c:pt idx="105">
                  <c:v>134</c:v>
                </c:pt>
                <c:pt idx="106">
                  <c:v>74.599999999999994</c:v>
                </c:pt>
                <c:pt idx="107">
                  <c:v>89.5</c:v>
                </c:pt>
                <c:pt idx="108">
                  <c:v>134</c:v>
                </c:pt>
                <c:pt idx="109">
                  <c:v>134</c:v>
                </c:pt>
                <c:pt idx="110">
                  <c:v>74.599999999999994</c:v>
                </c:pt>
                <c:pt idx="111">
                  <c:v>93</c:v>
                </c:pt>
                <c:pt idx="112">
                  <c:v>59.6</c:v>
                </c:pt>
                <c:pt idx="113">
                  <c:v>59.6</c:v>
                </c:pt>
                <c:pt idx="114">
                  <c:v>59.6</c:v>
                </c:pt>
                <c:pt idx="115">
                  <c:v>73.5</c:v>
                </c:pt>
                <c:pt idx="116">
                  <c:v>95.6</c:v>
                </c:pt>
                <c:pt idx="117">
                  <c:v>265</c:v>
                </c:pt>
                <c:pt idx="118">
                  <c:v>560</c:v>
                </c:pt>
                <c:pt idx="119">
                  <c:v>186</c:v>
                </c:pt>
                <c:pt idx="120">
                  <c:v>238</c:v>
                </c:pt>
                <c:pt idx="121">
                  <c:v>559</c:v>
                </c:pt>
                <c:pt idx="122">
                  <c:v>224</c:v>
                </c:pt>
                <c:pt idx="123">
                  <c:v>73.5</c:v>
                </c:pt>
                <c:pt idx="124">
                  <c:v>119</c:v>
                </c:pt>
                <c:pt idx="125">
                  <c:v>194</c:v>
                </c:pt>
                <c:pt idx="126">
                  <c:v>149</c:v>
                </c:pt>
                <c:pt idx="128">
                  <c:v>59.6</c:v>
                </c:pt>
                <c:pt idx="129">
                  <c:v>265</c:v>
                </c:pt>
                <c:pt idx="130">
                  <c:v>37.799999999999997</c:v>
                </c:pt>
                <c:pt idx="131">
                  <c:v>257</c:v>
                </c:pt>
                <c:pt idx="132">
                  <c:v>33.6</c:v>
                </c:pt>
                <c:pt idx="133">
                  <c:v>235</c:v>
                </c:pt>
                <c:pt idx="134">
                  <c:v>35.799999999999997</c:v>
                </c:pt>
                <c:pt idx="135">
                  <c:v>15.3</c:v>
                </c:pt>
                <c:pt idx="136">
                  <c:v>37</c:v>
                </c:pt>
                <c:pt idx="138">
                  <c:v>37.200000000000003</c:v>
                </c:pt>
                <c:pt idx="139">
                  <c:v>70</c:v>
                </c:pt>
                <c:pt idx="140">
                  <c:v>58.8</c:v>
                </c:pt>
                <c:pt idx="141">
                  <c:v>37.299999999999997</c:v>
                </c:pt>
                <c:pt idx="142">
                  <c:v>38.799999999999997</c:v>
                </c:pt>
                <c:pt idx="143">
                  <c:v>73.5</c:v>
                </c:pt>
                <c:pt idx="144">
                  <c:v>73.5</c:v>
                </c:pt>
                <c:pt idx="145">
                  <c:v>48.5</c:v>
                </c:pt>
                <c:pt idx="146">
                  <c:v>149</c:v>
                </c:pt>
                <c:pt idx="147">
                  <c:v>73.5</c:v>
                </c:pt>
                <c:pt idx="148">
                  <c:v>540</c:v>
                </c:pt>
                <c:pt idx="149">
                  <c:v>73.5</c:v>
                </c:pt>
                <c:pt idx="150">
                  <c:v>73.5</c:v>
                </c:pt>
                <c:pt idx="151">
                  <c:v>16.399999999999999</c:v>
                </c:pt>
                <c:pt idx="152">
                  <c:v>19</c:v>
                </c:pt>
                <c:pt idx="153">
                  <c:v>73.5</c:v>
                </c:pt>
                <c:pt idx="154">
                  <c:v>116</c:v>
                </c:pt>
                <c:pt idx="155">
                  <c:v>265</c:v>
                </c:pt>
                <c:pt idx="156">
                  <c:v>34</c:v>
                </c:pt>
                <c:pt idx="157">
                  <c:v>48</c:v>
                </c:pt>
                <c:pt idx="158">
                  <c:v>149</c:v>
                </c:pt>
                <c:pt idx="159">
                  <c:v>73.5</c:v>
                </c:pt>
                <c:pt idx="160">
                  <c:v>134</c:v>
                </c:pt>
                <c:pt idx="161">
                  <c:v>134</c:v>
                </c:pt>
                <c:pt idx="162">
                  <c:v>59.7</c:v>
                </c:pt>
                <c:pt idx="163">
                  <c:v>59.6</c:v>
                </c:pt>
                <c:pt idx="164">
                  <c:v>73.5</c:v>
                </c:pt>
                <c:pt idx="165">
                  <c:v>59.6</c:v>
                </c:pt>
                <c:pt idx="166">
                  <c:v>73.5</c:v>
                </c:pt>
                <c:pt idx="167">
                  <c:v>59.6</c:v>
                </c:pt>
                <c:pt idx="168">
                  <c:v>73.5</c:v>
                </c:pt>
                <c:pt idx="169">
                  <c:v>59.6</c:v>
                </c:pt>
                <c:pt idx="170">
                  <c:v>73.5</c:v>
                </c:pt>
                <c:pt idx="171">
                  <c:v>73.5</c:v>
                </c:pt>
                <c:pt idx="172">
                  <c:v>58.8</c:v>
                </c:pt>
                <c:pt idx="173">
                  <c:v>59.6</c:v>
                </c:pt>
                <c:pt idx="174">
                  <c:v>44.7</c:v>
                </c:pt>
                <c:pt idx="175">
                  <c:v>59.7</c:v>
                </c:pt>
                <c:pt idx="176">
                  <c:v>59.6</c:v>
                </c:pt>
                <c:pt idx="177">
                  <c:v>59.6</c:v>
                </c:pt>
                <c:pt idx="178">
                  <c:v>59.6</c:v>
                </c:pt>
                <c:pt idx="179">
                  <c:v>73.5</c:v>
                </c:pt>
                <c:pt idx="180">
                  <c:v>59.6</c:v>
                </c:pt>
                <c:pt idx="181">
                  <c:v>74.599999999999994</c:v>
                </c:pt>
                <c:pt idx="182">
                  <c:v>67.099999999999994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FBD-429D-9DBE-DE3CB989F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scatterChart>
        <c:scatterStyle val="lineMarker"/>
        <c:varyColors val="0"/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6.026345441055718E-2"/>
                  <c:y val="0.31158931117862237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</c:spPr>
            </c:trendlineLbl>
          </c:trendline>
          <c:xVal>
            <c:numRef>
              <c:f>Lightplane!$G$2:$G$184</c:f>
              <c:numCache>
                <c:formatCode>General</c:formatCode>
                <c:ptCount val="183"/>
                <c:pt idx="0">
                  <c:v>1550</c:v>
                </c:pt>
                <c:pt idx="1">
                  <c:v>1406</c:v>
                </c:pt>
                <c:pt idx="2">
                  <c:v>1200</c:v>
                </c:pt>
                <c:pt idx="3">
                  <c:v>1200</c:v>
                </c:pt>
                <c:pt idx="4">
                  <c:v>1050</c:v>
                </c:pt>
                <c:pt idx="5">
                  <c:v>560</c:v>
                </c:pt>
                <c:pt idx="6">
                  <c:v>1338</c:v>
                </c:pt>
                <c:pt idx="7">
                  <c:v>1585</c:v>
                </c:pt>
                <c:pt idx="8">
                  <c:v>800</c:v>
                </c:pt>
                <c:pt idx="9">
                  <c:v>700</c:v>
                </c:pt>
                <c:pt idx="10">
                  <c:v>975</c:v>
                </c:pt>
                <c:pt idx="11">
                  <c:v>990</c:v>
                </c:pt>
                <c:pt idx="12">
                  <c:v>645</c:v>
                </c:pt>
                <c:pt idx="13">
                  <c:v>975</c:v>
                </c:pt>
                <c:pt idx="14">
                  <c:v>600</c:v>
                </c:pt>
                <c:pt idx="15">
                  <c:v>599</c:v>
                </c:pt>
                <c:pt idx="16">
                  <c:v>595</c:v>
                </c:pt>
                <c:pt idx="17">
                  <c:v>794</c:v>
                </c:pt>
                <c:pt idx="18">
                  <c:v>598</c:v>
                </c:pt>
                <c:pt idx="19">
                  <c:v>472.5</c:v>
                </c:pt>
                <c:pt idx="20">
                  <c:v>600</c:v>
                </c:pt>
                <c:pt idx="21">
                  <c:v>770</c:v>
                </c:pt>
                <c:pt idx="22">
                  <c:v>850</c:v>
                </c:pt>
                <c:pt idx="23">
                  <c:v>771</c:v>
                </c:pt>
                <c:pt idx="24">
                  <c:v>835</c:v>
                </c:pt>
                <c:pt idx="25">
                  <c:v>750</c:v>
                </c:pt>
                <c:pt idx="26">
                  <c:v>1250</c:v>
                </c:pt>
                <c:pt idx="27">
                  <c:v>1480</c:v>
                </c:pt>
                <c:pt idx="28">
                  <c:v>1150</c:v>
                </c:pt>
                <c:pt idx="29">
                  <c:v>800</c:v>
                </c:pt>
                <c:pt idx="30">
                  <c:v>472.5</c:v>
                </c:pt>
                <c:pt idx="31">
                  <c:v>1203</c:v>
                </c:pt>
                <c:pt idx="32">
                  <c:v>820</c:v>
                </c:pt>
                <c:pt idx="33">
                  <c:v>1555</c:v>
                </c:pt>
                <c:pt idx="34">
                  <c:v>1080</c:v>
                </c:pt>
                <c:pt idx="35">
                  <c:v>970</c:v>
                </c:pt>
                <c:pt idx="36">
                  <c:v>735</c:v>
                </c:pt>
                <c:pt idx="37">
                  <c:v>985</c:v>
                </c:pt>
                <c:pt idx="38">
                  <c:v>1000</c:v>
                </c:pt>
                <c:pt idx="39">
                  <c:v>1100</c:v>
                </c:pt>
                <c:pt idx="40">
                  <c:v>1150</c:v>
                </c:pt>
                <c:pt idx="41">
                  <c:v>820</c:v>
                </c:pt>
                <c:pt idx="42">
                  <c:v>950</c:v>
                </c:pt>
                <c:pt idx="43">
                  <c:v>1440</c:v>
                </c:pt>
                <c:pt idx="44">
                  <c:v>850</c:v>
                </c:pt>
                <c:pt idx="45">
                  <c:v>1400</c:v>
                </c:pt>
                <c:pt idx="46">
                  <c:v>1160</c:v>
                </c:pt>
                <c:pt idx="47">
                  <c:v>1155</c:v>
                </c:pt>
                <c:pt idx="48">
                  <c:v>1633</c:v>
                </c:pt>
                <c:pt idx="49">
                  <c:v>700</c:v>
                </c:pt>
                <c:pt idx="50">
                  <c:v>800</c:v>
                </c:pt>
                <c:pt idx="51">
                  <c:v>1315</c:v>
                </c:pt>
                <c:pt idx="52">
                  <c:v>1200</c:v>
                </c:pt>
                <c:pt idx="53">
                  <c:v>1620</c:v>
                </c:pt>
                <c:pt idx="54">
                  <c:v>1157</c:v>
                </c:pt>
                <c:pt idx="55">
                  <c:v>1406</c:v>
                </c:pt>
                <c:pt idx="56">
                  <c:v>1633</c:v>
                </c:pt>
                <c:pt idx="57">
                  <c:v>1383</c:v>
                </c:pt>
                <c:pt idx="58">
                  <c:v>1542</c:v>
                </c:pt>
                <c:pt idx="59">
                  <c:v>1530</c:v>
                </c:pt>
                <c:pt idx="60">
                  <c:v>1156</c:v>
                </c:pt>
                <c:pt idx="61">
                  <c:v>1247</c:v>
                </c:pt>
                <c:pt idx="62">
                  <c:v>544</c:v>
                </c:pt>
                <c:pt idx="63">
                  <c:v>600</c:v>
                </c:pt>
                <c:pt idx="64">
                  <c:v>600</c:v>
                </c:pt>
                <c:pt idx="65">
                  <c:v>600</c:v>
                </c:pt>
                <c:pt idx="66">
                  <c:v>600</c:v>
                </c:pt>
                <c:pt idx="67">
                  <c:v>600</c:v>
                </c:pt>
                <c:pt idx="68">
                  <c:v>450</c:v>
                </c:pt>
                <c:pt idx="69">
                  <c:v>450</c:v>
                </c:pt>
                <c:pt idx="70">
                  <c:v>598</c:v>
                </c:pt>
                <c:pt idx="71">
                  <c:v>472.5</c:v>
                </c:pt>
                <c:pt idx="72">
                  <c:v>472.5</c:v>
                </c:pt>
                <c:pt idx="73">
                  <c:v>600</c:v>
                </c:pt>
                <c:pt idx="74">
                  <c:v>600</c:v>
                </c:pt>
                <c:pt idx="75">
                  <c:v>450</c:v>
                </c:pt>
                <c:pt idx="76">
                  <c:v>600</c:v>
                </c:pt>
                <c:pt idx="77">
                  <c:v>655</c:v>
                </c:pt>
                <c:pt idx="78">
                  <c:v>750</c:v>
                </c:pt>
                <c:pt idx="79">
                  <c:v>600</c:v>
                </c:pt>
                <c:pt idx="80">
                  <c:v>472.5</c:v>
                </c:pt>
                <c:pt idx="81">
                  <c:v>472.5</c:v>
                </c:pt>
                <c:pt idx="82">
                  <c:v>750</c:v>
                </c:pt>
                <c:pt idx="83">
                  <c:v>600</c:v>
                </c:pt>
                <c:pt idx="84">
                  <c:v>595</c:v>
                </c:pt>
                <c:pt idx="85">
                  <c:v>472.5</c:v>
                </c:pt>
                <c:pt idx="86">
                  <c:v>450</c:v>
                </c:pt>
                <c:pt idx="87">
                  <c:v>560</c:v>
                </c:pt>
                <c:pt idx="88">
                  <c:v>450</c:v>
                </c:pt>
                <c:pt idx="89">
                  <c:v>475</c:v>
                </c:pt>
                <c:pt idx="90">
                  <c:v>600</c:v>
                </c:pt>
                <c:pt idx="91">
                  <c:v>450</c:v>
                </c:pt>
                <c:pt idx="92">
                  <c:v>600</c:v>
                </c:pt>
                <c:pt idx="93">
                  <c:v>450</c:v>
                </c:pt>
                <c:pt idx="94">
                  <c:v>600</c:v>
                </c:pt>
                <c:pt idx="95">
                  <c:v>550</c:v>
                </c:pt>
                <c:pt idx="96">
                  <c:v>582</c:v>
                </c:pt>
                <c:pt idx="97">
                  <c:v>600</c:v>
                </c:pt>
                <c:pt idx="98">
                  <c:v>600</c:v>
                </c:pt>
                <c:pt idx="99">
                  <c:v>600</c:v>
                </c:pt>
                <c:pt idx="100">
                  <c:v>750</c:v>
                </c:pt>
                <c:pt idx="101">
                  <c:v>599</c:v>
                </c:pt>
                <c:pt idx="102">
                  <c:v>794</c:v>
                </c:pt>
                <c:pt idx="103">
                  <c:v>794</c:v>
                </c:pt>
                <c:pt idx="104">
                  <c:v>816</c:v>
                </c:pt>
                <c:pt idx="105">
                  <c:v>885</c:v>
                </c:pt>
                <c:pt idx="106">
                  <c:v>599</c:v>
                </c:pt>
                <c:pt idx="107">
                  <c:v>646</c:v>
                </c:pt>
                <c:pt idx="108">
                  <c:v>1021</c:v>
                </c:pt>
                <c:pt idx="109">
                  <c:v>1043</c:v>
                </c:pt>
                <c:pt idx="110">
                  <c:v>599</c:v>
                </c:pt>
                <c:pt idx="111">
                  <c:v>794</c:v>
                </c:pt>
                <c:pt idx="112">
                  <c:v>450</c:v>
                </c:pt>
                <c:pt idx="113">
                  <c:v>599</c:v>
                </c:pt>
                <c:pt idx="114">
                  <c:v>599</c:v>
                </c:pt>
                <c:pt idx="115">
                  <c:v>599</c:v>
                </c:pt>
                <c:pt idx="116">
                  <c:v>762</c:v>
                </c:pt>
                <c:pt idx="117">
                  <c:v>1846</c:v>
                </c:pt>
                <c:pt idx="118">
                  <c:v>3402</c:v>
                </c:pt>
                <c:pt idx="119">
                  <c:v>1588</c:v>
                </c:pt>
                <c:pt idx="120">
                  <c:v>1451</c:v>
                </c:pt>
                <c:pt idx="121">
                  <c:v>1950</c:v>
                </c:pt>
                <c:pt idx="122">
                  <c:v>1588</c:v>
                </c:pt>
                <c:pt idx="123">
                  <c:v>600</c:v>
                </c:pt>
                <c:pt idx="124">
                  <c:v>1066</c:v>
                </c:pt>
                <c:pt idx="125">
                  <c:v>1620</c:v>
                </c:pt>
                <c:pt idx="126">
                  <c:v>1043</c:v>
                </c:pt>
                <c:pt idx="127">
                  <c:v>800</c:v>
                </c:pt>
                <c:pt idx="128">
                  <c:v>748</c:v>
                </c:pt>
                <c:pt idx="129">
                  <c:v>1043</c:v>
                </c:pt>
                <c:pt idx="130">
                  <c:v>228</c:v>
                </c:pt>
                <c:pt idx="131">
                  <c:v>700</c:v>
                </c:pt>
                <c:pt idx="132">
                  <c:v>431</c:v>
                </c:pt>
                <c:pt idx="133">
                  <c:v>855</c:v>
                </c:pt>
                <c:pt idx="134">
                  <c:v>265</c:v>
                </c:pt>
                <c:pt idx="135">
                  <c:v>235</c:v>
                </c:pt>
                <c:pt idx="136">
                  <c:v>272</c:v>
                </c:pt>
                <c:pt idx="137">
                  <c:v>450</c:v>
                </c:pt>
                <c:pt idx="138">
                  <c:v>231</c:v>
                </c:pt>
                <c:pt idx="139">
                  <c:v>413</c:v>
                </c:pt>
                <c:pt idx="140">
                  <c:v>420</c:v>
                </c:pt>
                <c:pt idx="141">
                  <c:v>295</c:v>
                </c:pt>
                <c:pt idx="142">
                  <c:v>400</c:v>
                </c:pt>
                <c:pt idx="144">
                  <c:v>559</c:v>
                </c:pt>
                <c:pt idx="145">
                  <c:v>553</c:v>
                </c:pt>
                <c:pt idx="146">
                  <c:v>463</c:v>
                </c:pt>
                <c:pt idx="147">
                  <c:v>658</c:v>
                </c:pt>
                <c:pt idx="148">
                  <c:v>1497</c:v>
                </c:pt>
                <c:pt idx="149">
                  <c:v>472.5</c:v>
                </c:pt>
                <c:pt idx="150">
                  <c:v>500</c:v>
                </c:pt>
                <c:pt idx="151">
                  <c:v>240</c:v>
                </c:pt>
                <c:pt idx="152">
                  <c:v>227</c:v>
                </c:pt>
                <c:pt idx="153">
                  <c:v>450</c:v>
                </c:pt>
                <c:pt idx="155">
                  <c:v>1043</c:v>
                </c:pt>
                <c:pt idx="156">
                  <c:v>431</c:v>
                </c:pt>
                <c:pt idx="157">
                  <c:v>450</c:v>
                </c:pt>
                <c:pt idx="158">
                  <c:v>998</c:v>
                </c:pt>
                <c:pt idx="159">
                  <c:v>645</c:v>
                </c:pt>
                <c:pt idx="160">
                  <c:v>748</c:v>
                </c:pt>
                <c:pt idx="161">
                  <c:v>816</c:v>
                </c:pt>
                <c:pt idx="162">
                  <c:v>600</c:v>
                </c:pt>
                <c:pt idx="163">
                  <c:v>621</c:v>
                </c:pt>
                <c:pt idx="164">
                  <c:v>569</c:v>
                </c:pt>
                <c:pt idx="165">
                  <c:v>450</c:v>
                </c:pt>
                <c:pt idx="166">
                  <c:v>450</c:v>
                </c:pt>
                <c:pt idx="167">
                  <c:v>580</c:v>
                </c:pt>
                <c:pt idx="168">
                  <c:v>750</c:v>
                </c:pt>
                <c:pt idx="169">
                  <c:v>450</c:v>
                </c:pt>
                <c:pt idx="170">
                  <c:v>472.5</c:v>
                </c:pt>
                <c:pt idx="171">
                  <c:v>600</c:v>
                </c:pt>
                <c:pt idx="172">
                  <c:v>544</c:v>
                </c:pt>
                <c:pt idx="173">
                  <c:v>522</c:v>
                </c:pt>
                <c:pt idx="174">
                  <c:v>420</c:v>
                </c:pt>
                <c:pt idx="175">
                  <c:v>431</c:v>
                </c:pt>
                <c:pt idx="176">
                  <c:v>450</c:v>
                </c:pt>
                <c:pt idx="177">
                  <c:v>480</c:v>
                </c:pt>
                <c:pt idx="178">
                  <c:v>600</c:v>
                </c:pt>
                <c:pt idx="179">
                  <c:v>472.5</c:v>
                </c:pt>
                <c:pt idx="180">
                  <c:v>472.5</c:v>
                </c:pt>
                <c:pt idx="181">
                  <c:v>544</c:v>
                </c:pt>
                <c:pt idx="182">
                  <c:v>530</c:v>
                </c:pt>
              </c:numCache>
            </c:numRef>
          </c:xVal>
          <c:yVal>
            <c:numRef>
              <c:f>Lightplane!$K$2:$K$184</c:f>
              <c:numCache>
                <c:formatCode>General</c:formatCode>
                <c:ptCount val="183"/>
                <c:pt idx="1">
                  <c:v>2.66</c:v>
                </c:pt>
                <c:pt idx="2">
                  <c:v>1.96</c:v>
                </c:pt>
                <c:pt idx="4">
                  <c:v>0.6</c:v>
                </c:pt>
                <c:pt idx="7">
                  <c:v>4.5</c:v>
                </c:pt>
                <c:pt idx="9">
                  <c:v>0.48</c:v>
                </c:pt>
                <c:pt idx="11">
                  <c:v>0.98</c:v>
                </c:pt>
                <c:pt idx="13">
                  <c:v>0.72</c:v>
                </c:pt>
                <c:pt idx="15">
                  <c:v>0.56000000000000005</c:v>
                </c:pt>
                <c:pt idx="17">
                  <c:v>0.84</c:v>
                </c:pt>
                <c:pt idx="22">
                  <c:v>0.45</c:v>
                </c:pt>
                <c:pt idx="28">
                  <c:v>1.26</c:v>
                </c:pt>
                <c:pt idx="29">
                  <c:v>0.48</c:v>
                </c:pt>
                <c:pt idx="34">
                  <c:v>1.6</c:v>
                </c:pt>
                <c:pt idx="35">
                  <c:v>1.6</c:v>
                </c:pt>
                <c:pt idx="38">
                  <c:v>0.6</c:v>
                </c:pt>
                <c:pt idx="39">
                  <c:v>0.6</c:v>
                </c:pt>
                <c:pt idx="40">
                  <c:v>0.6</c:v>
                </c:pt>
                <c:pt idx="41">
                  <c:v>0.78</c:v>
                </c:pt>
                <c:pt idx="42">
                  <c:v>0.78</c:v>
                </c:pt>
                <c:pt idx="43">
                  <c:v>2.2400000000000002</c:v>
                </c:pt>
                <c:pt idx="46">
                  <c:v>1.68</c:v>
                </c:pt>
                <c:pt idx="50">
                  <c:v>0.33600000000000002</c:v>
                </c:pt>
                <c:pt idx="52">
                  <c:v>0.6</c:v>
                </c:pt>
                <c:pt idx="53">
                  <c:v>0.6</c:v>
                </c:pt>
                <c:pt idx="54">
                  <c:v>1.68</c:v>
                </c:pt>
                <c:pt idx="55">
                  <c:v>2.66</c:v>
                </c:pt>
                <c:pt idx="56">
                  <c:v>2.76</c:v>
                </c:pt>
                <c:pt idx="57">
                  <c:v>2.1</c:v>
                </c:pt>
                <c:pt idx="58">
                  <c:v>2.1</c:v>
                </c:pt>
                <c:pt idx="59">
                  <c:v>2.4</c:v>
                </c:pt>
                <c:pt idx="60">
                  <c:v>1.96</c:v>
                </c:pt>
                <c:pt idx="61">
                  <c:v>1.68</c:v>
                </c:pt>
                <c:pt idx="67">
                  <c:v>0.24</c:v>
                </c:pt>
                <c:pt idx="75">
                  <c:v>0.16800000000000001</c:v>
                </c:pt>
                <c:pt idx="78">
                  <c:v>0.48</c:v>
                </c:pt>
                <c:pt idx="79">
                  <c:v>8.4000000000000005E-2</c:v>
                </c:pt>
                <c:pt idx="82">
                  <c:v>0.72</c:v>
                </c:pt>
                <c:pt idx="83">
                  <c:v>0.72</c:v>
                </c:pt>
                <c:pt idx="88">
                  <c:v>0.48</c:v>
                </c:pt>
                <c:pt idx="90">
                  <c:v>0.28000000000000003</c:v>
                </c:pt>
                <c:pt idx="91">
                  <c:v>0.24</c:v>
                </c:pt>
                <c:pt idx="92">
                  <c:v>0.26</c:v>
                </c:pt>
                <c:pt idx="95">
                  <c:v>0.24</c:v>
                </c:pt>
                <c:pt idx="101">
                  <c:v>0.72</c:v>
                </c:pt>
                <c:pt idx="102">
                  <c:v>0.72</c:v>
                </c:pt>
                <c:pt idx="103">
                  <c:v>0.72</c:v>
                </c:pt>
                <c:pt idx="104">
                  <c:v>0.72</c:v>
                </c:pt>
                <c:pt idx="105">
                  <c:v>0.72</c:v>
                </c:pt>
                <c:pt idx="108">
                  <c:v>0.98</c:v>
                </c:pt>
                <c:pt idx="109">
                  <c:v>0.6</c:v>
                </c:pt>
                <c:pt idx="111">
                  <c:v>0.84</c:v>
                </c:pt>
                <c:pt idx="125">
                  <c:v>0.6</c:v>
                </c:pt>
                <c:pt idx="129">
                  <c:v>0.12</c:v>
                </c:pt>
                <c:pt idx="144">
                  <c:v>0.24</c:v>
                </c:pt>
                <c:pt idx="157">
                  <c:v>1.3</c:v>
                </c:pt>
                <c:pt idx="163">
                  <c:v>0.312</c:v>
                </c:pt>
                <c:pt idx="165">
                  <c:v>0.216</c:v>
                </c:pt>
                <c:pt idx="166">
                  <c:v>0.16</c:v>
                </c:pt>
                <c:pt idx="167">
                  <c:v>0.24</c:v>
                </c:pt>
                <c:pt idx="173">
                  <c:v>0.25</c:v>
                </c:pt>
                <c:pt idx="175">
                  <c:v>3.18</c:v>
                </c:pt>
                <c:pt idx="178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FBD-429D-9DBE-DE3CB989F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83888"/>
        <c:axId val="-47958608"/>
      </c:scatterChart>
      <c:valAx>
        <c:axId val="-47965392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Propulsive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valAx>
        <c:axId val="-47958608"/>
        <c:scaling>
          <c:orientation val="minMax"/>
          <c:max val="12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27283888"/>
        <c:crosses val="max"/>
        <c:crossBetween val="midCat"/>
      </c:valAx>
      <c:valAx>
        <c:axId val="-12728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7958608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0753185294632331"/>
          <c:y val="4.0263045859425049E-2"/>
          <c:w val="0.2546698360818106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Propulsive Power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1.5554119721627697E-2"/>
                  <c:y val="-4.3384380102093556E-2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'All electric and FC'!$G$2:$G$16</c:f>
              <c:numCache>
                <c:formatCode>General</c:formatCode>
                <c:ptCount val="15"/>
                <c:pt idx="0">
                  <c:v>550</c:v>
                </c:pt>
                <c:pt idx="1">
                  <c:v>490</c:v>
                </c:pt>
                <c:pt idx="2">
                  <c:v>750</c:v>
                </c:pt>
                <c:pt idx="3">
                  <c:v>300</c:v>
                </c:pt>
                <c:pt idx="4">
                  <c:v>300</c:v>
                </c:pt>
                <c:pt idx="5">
                  <c:v>302</c:v>
                </c:pt>
                <c:pt idx="6">
                  <c:v>243</c:v>
                </c:pt>
                <c:pt idx="7">
                  <c:v>600</c:v>
                </c:pt>
                <c:pt idx="8">
                  <c:v>580</c:v>
                </c:pt>
              </c:numCache>
            </c:numRef>
          </c:xVal>
          <c:yVal>
            <c:numRef>
              <c:f>'All electric and FC'!$I$2:$I$16</c:f>
              <c:numCache>
                <c:formatCode>General</c:formatCode>
                <c:ptCount val="15"/>
                <c:pt idx="0">
                  <c:v>60</c:v>
                </c:pt>
                <c:pt idx="1">
                  <c:v>30</c:v>
                </c:pt>
                <c:pt idx="2">
                  <c:v>100</c:v>
                </c:pt>
                <c:pt idx="3">
                  <c:v>13.5</c:v>
                </c:pt>
                <c:pt idx="4">
                  <c:v>16</c:v>
                </c:pt>
                <c:pt idx="5">
                  <c:v>40</c:v>
                </c:pt>
                <c:pt idx="6">
                  <c:v>22.4</c:v>
                </c:pt>
                <c:pt idx="7">
                  <c:v>80</c:v>
                </c:pt>
                <c:pt idx="8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AE-4795-8A8F-78F738EF2C31}"/>
            </c:ext>
          </c:extLst>
        </c:ser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6.748683400994368E-3"/>
                  <c:y val="0.14944245355157376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</c:spPr>
            </c:trendlineLbl>
          </c:trendline>
          <c:xVal>
            <c:numRef>
              <c:f>'All electric and FC'!$G$2:$G$16</c:f>
              <c:numCache>
                <c:formatCode>General</c:formatCode>
                <c:ptCount val="15"/>
                <c:pt idx="0">
                  <c:v>550</c:v>
                </c:pt>
                <c:pt idx="1">
                  <c:v>490</c:v>
                </c:pt>
                <c:pt idx="2">
                  <c:v>750</c:v>
                </c:pt>
                <c:pt idx="3">
                  <c:v>300</c:v>
                </c:pt>
                <c:pt idx="4">
                  <c:v>300</c:v>
                </c:pt>
                <c:pt idx="5">
                  <c:v>302</c:v>
                </c:pt>
                <c:pt idx="6">
                  <c:v>243</c:v>
                </c:pt>
                <c:pt idx="7">
                  <c:v>600</c:v>
                </c:pt>
                <c:pt idx="8">
                  <c:v>580</c:v>
                </c:pt>
              </c:numCache>
            </c:numRef>
          </c:xVal>
          <c:yVal>
            <c:numRef>
              <c:f>'All electric and FC'!$J$2:$J$16</c:f>
              <c:numCache>
                <c:formatCode>General</c:formatCode>
                <c:ptCount val="15"/>
                <c:pt idx="0">
                  <c:v>60</c:v>
                </c:pt>
                <c:pt idx="1">
                  <c:v>30</c:v>
                </c:pt>
                <c:pt idx="2">
                  <c:v>70</c:v>
                </c:pt>
                <c:pt idx="3">
                  <c:v>14</c:v>
                </c:pt>
                <c:pt idx="4">
                  <c:v>16</c:v>
                </c:pt>
                <c:pt idx="5">
                  <c:v>40</c:v>
                </c:pt>
                <c:pt idx="6">
                  <c:v>22.4</c:v>
                </c:pt>
                <c:pt idx="7">
                  <c:v>80</c:v>
                </c:pt>
                <c:pt idx="8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CAE-4795-8A8F-78F738EF2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valAx>
        <c:axId val="-47965392"/>
        <c:scaling>
          <c:orientation val="minMax"/>
          <c:min val="200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ax val="11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Propulsive Power &amp;</a:t>
                </a:r>
                <a:br>
                  <a:rPr lang="en-GB"/>
                </a:b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  <c:majorUnit val="10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3300452436888863"/>
          <c:y val="3.8161417950559766E-2"/>
          <c:w val="0.24210307835931691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Propulsive Power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poly"/>
            <c:order val="3"/>
            <c:intercept val="0"/>
            <c:dispRSqr val="1"/>
            <c:dispEq val="1"/>
            <c:trendlineLbl>
              <c:layout>
                <c:manualLayout>
                  <c:x val="7.6429255221856132E-2"/>
                  <c:y val="0.56648041829416995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Unmanned!$G$2:$G$30</c:f>
              <c:numCache>
                <c:formatCode>General</c:formatCode>
                <c:ptCount val="29"/>
                <c:pt idx="0">
                  <c:v>3265</c:v>
                </c:pt>
                <c:pt idx="1">
                  <c:v>3401</c:v>
                </c:pt>
                <c:pt idx="2">
                  <c:v>703</c:v>
                </c:pt>
                <c:pt idx="3">
                  <c:v>1020</c:v>
                </c:pt>
                <c:pt idx="4">
                  <c:v>1100</c:v>
                </c:pt>
                <c:pt idx="5">
                  <c:v>1050</c:v>
                </c:pt>
                <c:pt idx="6">
                  <c:v>1680</c:v>
                </c:pt>
                <c:pt idx="7">
                  <c:v>1100</c:v>
                </c:pt>
                <c:pt idx="8">
                  <c:v>80</c:v>
                </c:pt>
                <c:pt idx="9">
                  <c:v>500</c:v>
                </c:pt>
                <c:pt idx="10">
                  <c:v>30</c:v>
                </c:pt>
                <c:pt idx="11">
                  <c:v>154</c:v>
                </c:pt>
                <c:pt idx="12">
                  <c:v>21</c:v>
                </c:pt>
                <c:pt idx="13">
                  <c:v>8.5</c:v>
                </c:pt>
                <c:pt idx="14">
                  <c:v>4.7</c:v>
                </c:pt>
                <c:pt idx="15">
                  <c:v>0.5</c:v>
                </c:pt>
                <c:pt idx="16">
                  <c:v>200</c:v>
                </c:pt>
                <c:pt idx="17">
                  <c:v>450</c:v>
                </c:pt>
                <c:pt idx="18">
                  <c:v>110</c:v>
                </c:pt>
                <c:pt idx="19">
                  <c:v>79</c:v>
                </c:pt>
                <c:pt idx="20">
                  <c:v>60</c:v>
                </c:pt>
                <c:pt idx="21">
                  <c:v>30</c:v>
                </c:pt>
                <c:pt idx="22">
                  <c:v>27</c:v>
                </c:pt>
                <c:pt idx="23">
                  <c:v>5</c:v>
                </c:pt>
                <c:pt idx="24">
                  <c:v>300</c:v>
                </c:pt>
                <c:pt idx="25">
                  <c:v>1496</c:v>
                </c:pt>
                <c:pt idx="26">
                  <c:v>20</c:v>
                </c:pt>
                <c:pt idx="27">
                  <c:v>56</c:v>
                </c:pt>
                <c:pt idx="28">
                  <c:v>1500</c:v>
                </c:pt>
              </c:numCache>
            </c:numRef>
          </c:xVal>
          <c:yVal>
            <c:numRef>
              <c:f>Unmanned!$I$2:$I$30</c:f>
              <c:numCache>
                <c:formatCode>General</c:formatCode>
                <c:ptCount val="29"/>
                <c:pt idx="0">
                  <c:v>708</c:v>
                </c:pt>
                <c:pt idx="1">
                  <c:v>599</c:v>
                </c:pt>
                <c:pt idx="2">
                  <c:v>73.5</c:v>
                </c:pt>
                <c:pt idx="3">
                  <c:v>78.3</c:v>
                </c:pt>
                <c:pt idx="4">
                  <c:v>73.5</c:v>
                </c:pt>
                <c:pt idx="5">
                  <c:v>84.6</c:v>
                </c:pt>
                <c:pt idx="6">
                  <c:v>114</c:v>
                </c:pt>
                <c:pt idx="7">
                  <c:v>74.599999999999994</c:v>
                </c:pt>
                <c:pt idx="8">
                  <c:v>7.5</c:v>
                </c:pt>
                <c:pt idx="9">
                  <c:v>84.5</c:v>
                </c:pt>
                <c:pt idx="11">
                  <c:v>28.3</c:v>
                </c:pt>
                <c:pt idx="16">
                  <c:v>28.3</c:v>
                </c:pt>
                <c:pt idx="17">
                  <c:v>38.799999999999997</c:v>
                </c:pt>
                <c:pt idx="18">
                  <c:v>16.399999999999999</c:v>
                </c:pt>
                <c:pt idx="20">
                  <c:v>13.3</c:v>
                </c:pt>
                <c:pt idx="21">
                  <c:v>4.5</c:v>
                </c:pt>
                <c:pt idx="24">
                  <c:v>37.25</c:v>
                </c:pt>
                <c:pt idx="25">
                  <c:v>101.4</c:v>
                </c:pt>
                <c:pt idx="26">
                  <c:v>1.4</c:v>
                </c:pt>
                <c:pt idx="28">
                  <c:v>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E35-48A2-A332-9B32A106F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scatterChart>
        <c:scatterStyle val="lineMarker"/>
        <c:varyColors val="0"/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-0.21046540814767128"/>
                  <c:y val="0.28439060078120154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</c:spPr>
            </c:trendlineLbl>
          </c:trendline>
          <c:xVal>
            <c:numRef>
              <c:f>Unmanned!$G$2:$G$30</c:f>
              <c:numCache>
                <c:formatCode>General</c:formatCode>
                <c:ptCount val="29"/>
                <c:pt idx="0">
                  <c:v>3265</c:v>
                </c:pt>
                <c:pt idx="1">
                  <c:v>3401</c:v>
                </c:pt>
                <c:pt idx="2">
                  <c:v>703</c:v>
                </c:pt>
                <c:pt idx="3">
                  <c:v>1020</c:v>
                </c:pt>
                <c:pt idx="4">
                  <c:v>1100</c:v>
                </c:pt>
                <c:pt idx="5">
                  <c:v>1050</c:v>
                </c:pt>
                <c:pt idx="6">
                  <c:v>1680</c:v>
                </c:pt>
                <c:pt idx="7">
                  <c:v>1100</c:v>
                </c:pt>
                <c:pt idx="8">
                  <c:v>80</c:v>
                </c:pt>
                <c:pt idx="9">
                  <c:v>500</c:v>
                </c:pt>
                <c:pt idx="10">
                  <c:v>30</c:v>
                </c:pt>
                <c:pt idx="11">
                  <c:v>154</c:v>
                </c:pt>
                <c:pt idx="12">
                  <c:v>21</c:v>
                </c:pt>
                <c:pt idx="13">
                  <c:v>8.5</c:v>
                </c:pt>
                <c:pt idx="14">
                  <c:v>4.7</c:v>
                </c:pt>
                <c:pt idx="15">
                  <c:v>0.5</c:v>
                </c:pt>
                <c:pt idx="16">
                  <c:v>200</c:v>
                </c:pt>
                <c:pt idx="17">
                  <c:v>450</c:v>
                </c:pt>
                <c:pt idx="18">
                  <c:v>110</c:v>
                </c:pt>
                <c:pt idx="19">
                  <c:v>79</c:v>
                </c:pt>
                <c:pt idx="20">
                  <c:v>60</c:v>
                </c:pt>
                <c:pt idx="21">
                  <c:v>30</c:v>
                </c:pt>
                <c:pt idx="22">
                  <c:v>27</c:v>
                </c:pt>
                <c:pt idx="23">
                  <c:v>5</c:v>
                </c:pt>
                <c:pt idx="24">
                  <c:v>300</c:v>
                </c:pt>
                <c:pt idx="25">
                  <c:v>1496</c:v>
                </c:pt>
                <c:pt idx="26">
                  <c:v>20</c:v>
                </c:pt>
                <c:pt idx="27">
                  <c:v>56</c:v>
                </c:pt>
                <c:pt idx="28">
                  <c:v>1500</c:v>
                </c:pt>
              </c:numCache>
            </c:numRef>
          </c:xVal>
          <c:yVal>
            <c:numRef>
              <c:f>Unmanned!$J$2:$J$30</c:f>
              <c:numCache>
                <c:formatCode>General</c:formatCode>
                <c:ptCount val="29"/>
                <c:pt idx="6">
                  <c:v>9</c:v>
                </c:pt>
                <c:pt idx="8">
                  <c:v>0.15</c:v>
                </c:pt>
                <c:pt idx="11">
                  <c:v>2</c:v>
                </c:pt>
                <c:pt idx="21">
                  <c:v>0.25</c:v>
                </c:pt>
                <c:pt idx="26">
                  <c:v>0.15</c:v>
                </c:pt>
                <c:pt idx="28">
                  <c:v>4.2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E35-48A2-A332-9B32A106F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83888"/>
        <c:axId val="-47958608"/>
      </c:scatterChart>
      <c:valAx>
        <c:axId val="-47965392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Propulsive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valAx>
        <c:axId val="-47958608"/>
        <c:scaling>
          <c:orientation val="minMax"/>
          <c:max val="4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27283888"/>
        <c:crosses val="max"/>
        <c:crossBetween val="midCat"/>
        <c:majorUnit val="5"/>
      </c:valAx>
      <c:valAx>
        <c:axId val="-12728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7958608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0627909444276842"/>
          <c:y val="3.8161489656312643E-2"/>
          <c:w val="0.25970130945444508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Propulsive Power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poly"/>
            <c:order val="4"/>
            <c:intercept val="0"/>
            <c:dispRSqr val="1"/>
            <c:dispEq val="1"/>
            <c:trendlineLbl>
              <c:layout>
                <c:manualLayout>
                  <c:x val="-0.1246687020116499"/>
                  <c:y val="0.35772674680994043"/>
                </c:manualLayout>
              </c:layout>
              <c:numFmt formatCode="General" sourceLinked="0"/>
            </c:trendlineLbl>
          </c:trendline>
          <c:xVal>
            <c:numRef>
              <c:f>'Bomber and surveillance'!$G$2:$G$21</c:f>
              <c:numCache>
                <c:formatCode>General</c:formatCode>
                <c:ptCount val="20"/>
                <c:pt idx="0">
                  <c:v>21000</c:v>
                </c:pt>
                <c:pt idx="1">
                  <c:v>24687</c:v>
                </c:pt>
                <c:pt idx="2">
                  <c:v>3856</c:v>
                </c:pt>
                <c:pt idx="3">
                  <c:v>3800</c:v>
                </c:pt>
                <c:pt idx="4">
                  <c:v>1230</c:v>
                </c:pt>
                <c:pt idx="5">
                  <c:v>2268</c:v>
                </c:pt>
                <c:pt idx="6">
                  <c:v>925</c:v>
                </c:pt>
                <c:pt idx="7">
                  <c:v>3674</c:v>
                </c:pt>
                <c:pt idx="8">
                  <c:v>4740</c:v>
                </c:pt>
                <c:pt idx="9">
                  <c:v>16500</c:v>
                </c:pt>
                <c:pt idx="10">
                  <c:v>8100</c:v>
                </c:pt>
                <c:pt idx="11">
                  <c:v>23000</c:v>
                </c:pt>
                <c:pt idx="12">
                  <c:v>2084</c:v>
                </c:pt>
                <c:pt idx="13">
                  <c:v>4700</c:v>
                </c:pt>
                <c:pt idx="14">
                  <c:v>850</c:v>
                </c:pt>
                <c:pt idx="15">
                  <c:v>1500</c:v>
                </c:pt>
                <c:pt idx="16">
                  <c:v>8100</c:v>
                </c:pt>
                <c:pt idx="17">
                  <c:v>5488</c:v>
                </c:pt>
                <c:pt idx="18">
                  <c:v>7500</c:v>
                </c:pt>
                <c:pt idx="19">
                  <c:v>6713</c:v>
                </c:pt>
              </c:numCache>
            </c:numRef>
          </c:xVal>
          <c:yVal>
            <c:numRef>
              <c:f>'Bomber and surveillance'!$I$2:$I$21</c:f>
              <c:numCache>
                <c:formatCode>General</c:formatCode>
                <c:ptCount val="20"/>
                <c:pt idx="0">
                  <c:v>3944</c:v>
                </c:pt>
                <c:pt idx="1">
                  <c:v>7606</c:v>
                </c:pt>
                <c:pt idx="2">
                  <c:v>596</c:v>
                </c:pt>
                <c:pt idx="3">
                  <c:v>708</c:v>
                </c:pt>
                <c:pt idx="4">
                  <c:v>147</c:v>
                </c:pt>
                <c:pt idx="5">
                  <c:v>261</c:v>
                </c:pt>
                <c:pt idx="6">
                  <c:v>125</c:v>
                </c:pt>
                <c:pt idx="7">
                  <c:v>672</c:v>
                </c:pt>
                <c:pt idx="8">
                  <c:v>895</c:v>
                </c:pt>
                <c:pt idx="9">
                  <c:v>2610</c:v>
                </c:pt>
                <c:pt idx="10">
                  <c:v>1380</c:v>
                </c:pt>
                <c:pt idx="11">
                  <c:v>3728</c:v>
                </c:pt>
                <c:pt idx="12">
                  <c:v>298</c:v>
                </c:pt>
                <c:pt idx="13">
                  <c:v>559</c:v>
                </c:pt>
                <c:pt idx="14">
                  <c:v>84.6</c:v>
                </c:pt>
                <c:pt idx="15">
                  <c:v>114</c:v>
                </c:pt>
                <c:pt idx="16">
                  <c:v>1380</c:v>
                </c:pt>
                <c:pt idx="17">
                  <c:v>2432</c:v>
                </c:pt>
                <c:pt idx="18">
                  <c:v>1432</c:v>
                </c:pt>
                <c:pt idx="19">
                  <c:v>1193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AC-4ECA-BF76-496A73C4F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scatterChart>
        <c:scatterStyle val="lineMarker"/>
        <c:varyColors val="0"/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poly"/>
            <c:order val="3"/>
            <c:intercept val="0"/>
            <c:dispRSqr val="1"/>
            <c:dispEq val="1"/>
            <c:trendlineLbl>
              <c:layout>
                <c:manualLayout>
                  <c:x val="0.14255672100389682"/>
                  <c:y val="0.71528978645713914"/>
                </c:manualLayout>
              </c:layout>
              <c:numFmt formatCode="General" sourceLinked="0"/>
            </c:trendlineLbl>
          </c:trendline>
          <c:xVal>
            <c:numRef>
              <c:f>'Bomber and surveillance'!$G$2:$G$21</c:f>
              <c:numCache>
                <c:formatCode>General</c:formatCode>
                <c:ptCount val="20"/>
                <c:pt idx="0">
                  <c:v>21000</c:v>
                </c:pt>
                <c:pt idx="1">
                  <c:v>24687</c:v>
                </c:pt>
                <c:pt idx="2">
                  <c:v>3856</c:v>
                </c:pt>
                <c:pt idx="3">
                  <c:v>3800</c:v>
                </c:pt>
                <c:pt idx="4">
                  <c:v>1230</c:v>
                </c:pt>
                <c:pt idx="5">
                  <c:v>2268</c:v>
                </c:pt>
                <c:pt idx="6">
                  <c:v>925</c:v>
                </c:pt>
                <c:pt idx="7">
                  <c:v>3674</c:v>
                </c:pt>
                <c:pt idx="8">
                  <c:v>4740</c:v>
                </c:pt>
                <c:pt idx="9">
                  <c:v>16500</c:v>
                </c:pt>
                <c:pt idx="10">
                  <c:v>8100</c:v>
                </c:pt>
                <c:pt idx="11">
                  <c:v>23000</c:v>
                </c:pt>
                <c:pt idx="12">
                  <c:v>2084</c:v>
                </c:pt>
                <c:pt idx="13">
                  <c:v>4700</c:v>
                </c:pt>
                <c:pt idx="14">
                  <c:v>850</c:v>
                </c:pt>
                <c:pt idx="15">
                  <c:v>1500</c:v>
                </c:pt>
                <c:pt idx="16">
                  <c:v>8100</c:v>
                </c:pt>
                <c:pt idx="17">
                  <c:v>5488</c:v>
                </c:pt>
                <c:pt idx="18">
                  <c:v>7500</c:v>
                </c:pt>
                <c:pt idx="19">
                  <c:v>6713</c:v>
                </c:pt>
              </c:numCache>
            </c:numRef>
          </c:xVal>
          <c:yVal>
            <c:numRef>
              <c:f>'Bomber and surveillance'!$J$2:$J$21</c:f>
              <c:numCache>
                <c:formatCode>General</c:formatCode>
                <c:ptCount val="20"/>
                <c:pt idx="1">
                  <c:v>191.25</c:v>
                </c:pt>
                <c:pt idx="2">
                  <c:v>11.2</c:v>
                </c:pt>
                <c:pt idx="4">
                  <c:v>0.96</c:v>
                </c:pt>
                <c:pt idx="6">
                  <c:v>1.96</c:v>
                </c:pt>
                <c:pt idx="7">
                  <c:v>13.3</c:v>
                </c:pt>
                <c:pt idx="8">
                  <c:v>16.8</c:v>
                </c:pt>
                <c:pt idx="9">
                  <c:v>23.75</c:v>
                </c:pt>
                <c:pt idx="10">
                  <c:v>18</c:v>
                </c:pt>
                <c:pt idx="12">
                  <c:v>3.92</c:v>
                </c:pt>
                <c:pt idx="13">
                  <c:v>30.1875</c:v>
                </c:pt>
                <c:pt idx="14">
                  <c:v>0.45</c:v>
                </c:pt>
                <c:pt idx="15">
                  <c:v>4.2</c:v>
                </c:pt>
                <c:pt idx="16">
                  <c:v>18</c:v>
                </c:pt>
                <c:pt idx="17">
                  <c:v>22.4</c:v>
                </c:pt>
                <c:pt idx="18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EAC-4ECA-BF76-496A73C4F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83888"/>
        <c:axId val="-47958608"/>
      </c:scatterChart>
      <c:valAx>
        <c:axId val="-47965392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Propulsive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valAx>
        <c:axId val="-47958608"/>
        <c:scaling>
          <c:orientation val="minMax"/>
          <c:max val="2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27283888"/>
        <c:crosses val="max"/>
        <c:crossBetween val="midCat"/>
        <c:majorUnit val="25"/>
      </c:valAx>
      <c:valAx>
        <c:axId val="-12728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7958608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890535061599501"/>
          <c:y val="3.8161417950559766E-2"/>
          <c:w val="0.25970130945444508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Max Thrust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3.9514485217649678E-2"/>
                  <c:y val="0.31430397365053564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'Fighter and trainer'!$G$2:$G$36</c:f>
              <c:numCache>
                <c:formatCode>General</c:formatCode>
                <c:ptCount val="35"/>
                <c:pt idx="0">
                  <c:v>23000</c:v>
                </c:pt>
                <c:pt idx="1">
                  <c:v>34500</c:v>
                </c:pt>
                <c:pt idx="2">
                  <c:v>36741</c:v>
                </c:pt>
                <c:pt idx="3">
                  <c:v>30209</c:v>
                </c:pt>
                <c:pt idx="4">
                  <c:v>23500</c:v>
                </c:pt>
                <c:pt idx="5">
                  <c:v>14548</c:v>
                </c:pt>
                <c:pt idx="6">
                  <c:v>27216</c:v>
                </c:pt>
                <c:pt idx="7">
                  <c:v>22226</c:v>
                </c:pt>
                <c:pt idx="8">
                  <c:v>12400</c:v>
                </c:pt>
                <c:pt idx="9">
                  <c:v>44500</c:v>
                </c:pt>
                <c:pt idx="10">
                  <c:v>22000</c:v>
                </c:pt>
                <c:pt idx="11">
                  <c:v>9800</c:v>
                </c:pt>
                <c:pt idx="12">
                  <c:v>9500</c:v>
                </c:pt>
                <c:pt idx="13">
                  <c:v>5700</c:v>
                </c:pt>
                <c:pt idx="14">
                  <c:v>5200</c:v>
                </c:pt>
                <c:pt idx="15">
                  <c:v>18600</c:v>
                </c:pt>
                <c:pt idx="17">
                  <c:v>6800</c:v>
                </c:pt>
                <c:pt idx="18">
                  <c:v>4204</c:v>
                </c:pt>
                <c:pt idx="19">
                  <c:v>24000</c:v>
                </c:pt>
                <c:pt idx="20">
                  <c:v>3300</c:v>
                </c:pt>
                <c:pt idx="21">
                  <c:v>18550</c:v>
                </c:pt>
                <c:pt idx="22">
                  <c:v>34500</c:v>
                </c:pt>
                <c:pt idx="23">
                  <c:v>34500</c:v>
                </c:pt>
                <c:pt idx="24">
                  <c:v>9339</c:v>
                </c:pt>
                <c:pt idx="25">
                  <c:v>14000</c:v>
                </c:pt>
                <c:pt idx="26">
                  <c:v>3143</c:v>
                </c:pt>
                <c:pt idx="27">
                  <c:v>8000</c:v>
                </c:pt>
                <c:pt idx="28">
                  <c:v>13500</c:v>
                </c:pt>
                <c:pt idx="29">
                  <c:v>5400</c:v>
                </c:pt>
                <c:pt idx="30">
                  <c:v>9100</c:v>
                </c:pt>
                <c:pt idx="31">
                  <c:v>37000</c:v>
                </c:pt>
                <c:pt idx="32">
                  <c:v>2700</c:v>
                </c:pt>
                <c:pt idx="33">
                  <c:v>7250</c:v>
                </c:pt>
                <c:pt idx="34">
                  <c:v>9639</c:v>
                </c:pt>
              </c:numCache>
            </c:numRef>
          </c:xVal>
          <c:yVal>
            <c:numRef>
              <c:f>'Fighter and trainer'!$I$2:$I$36</c:f>
              <c:numCache>
                <c:formatCode>General</c:formatCode>
                <c:ptCount val="35"/>
                <c:pt idx="0">
                  <c:v>245.2</c:v>
                </c:pt>
                <c:pt idx="1">
                  <c:v>246</c:v>
                </c:pt>
                <c:pt idx="2">
                  <c:v>258.8</c:v>
                </c:pt>
                <c:pt idx="3">
                  <c:v>195.8</c:v>
                </c:pt>
                <c:pt idx="4">
                  <c:v>180</c:v>
                </c:pt>
                <c:pt idx="5">
                  <c:v>131.6</c:v>
                </c:pt>
                <c:pt idx="6">
                  <c:v>191.3</c:v>
                </c:pt>
                <c:pt idx="7">
                  <c:v>170</c:v>
                </c:pt>
                <c:pt idx="8">
                  <c:v>85</c:v>
                </c:pt>
                <c:pt idx="10">
                  <c:v>175.2</c:v>
                </c:pt>
                <c:pt idx="11">
                  <c:v>63.25</c:v>
                </c:pt>
                <c:pt idx="12">
                  <c:v>55.8</c:v>
                </c:pt>
                <c:pt idx="13">
                  <c:v>27</c:v>
                </c:pt>
                <c:pt idx="14">
                  <c:v>17.350000000000001</c:v>
                </c:pt>
                <c:pt idx="15">
                  <c:v>122.6</c:v>
                </c:pt>
                <c:pt idx="16">
                  <c:v>274</c:v>
                </c:pt>
                <c:pt idx="17">
                  <c:v>43.2</c:v>
                </c:pt>
                <c:pt idx="18">
                  <c:v>16.87</c:v>
                </c:pt>
                <c:pt idx="19">
                  <c:v>100</c:v>
                </c:pt>
                <c:pt idx="20">
                  <c:v>15.12</c:v>
                </c:pt>
                <c:pt idx="21">
                  <c:v>176.6</c:v>
                </c:pt>
                <c:pt idx="22">
                  <c:v>246</c:v>
                </c:pt>
                <c:pt idx="23">
                  <c:v>284.39999999999998</c:v>
                </c:pt>
                <c:pt idx="24">
                  <c:v>78.7</c:v>
                </c:pt>
                <c:pt idx="25">
                  <c:v>54</c:v>
                </c:pt>
                <c:pt idx="26">
                  <c:v>13.34</c:v>
                </c:pt>
                <c:pt idx="27">
                  <c:v>28.2</c:v>
                </c:pt>
                <c:pt idx="28">
                  <c:v>80.5</c:v>
                </c:pt>
                <c:pt idx="29">
                  <c:v>21.6</c:v>
                </c:pt>
                <c:pt idx="30">
                  <c:v>85</c:v>
                </c:pt>
                <c:pt idx="31">
                  <c:v>294</c:v>
                </c:pt>
                <c:pt idx="32">
                  <c:v>21.57</c:v>
                </c:pt>
                <c:pt idx="33">
                  <c:v>24.5</c:v>
                </c:pt>
                <c:pt idx="34">
                  <c:v>35.6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F85-49C1-968D-3F1A5C30A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scatterChart>
        <c:scatterStyle val="lineMarker"/>
        <c:varyColors val="0"/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-0.14665527658099337"/>
                  <c:y val="7.031212379508936E-2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</c:spPr>
            </c:trendlineLbl>
          </c:trendline>
          <c:xVal>
            <c:numRef>
              <c:f>'Fighter and trainer'!$G$2:$G$36</c:f>
              <c:numCache>
                <c:formatCode>General</c:formatCode>
                <c:ptCount val="35"/>
                <c:pt idx="0">
                  <c:v>23000</c:v>
                </c:pt>
                <c:pt idx="1">
                  <c:v>34500</c:v>
                </c:pt>
                <c:pt idx="2">
                  <c:v>36741</c:v>
                </c:pt>
                <c:pt idx="3">
                  <c:v>30209</c:v>
                </c:pt>
                <c:pt idx="4">
                  <c:v>23500</c:v>
                </c:pt>
                <c:pt idx="5">
                  <c:v>14548</c:v>
                </c:pt>
                <c:pt idx="6">
                  <c:v>27216</c:v>
                </c:pt>
                <c:pt idx="7">
                  <c:v>22226</c:v>
                </c:pt>
                <c:pt idx="8">
                  <c:v>12400</c:v>
                </c:pt>
                <c:pt idx="9">
                  <c:v>44500</c:v>
                </c:pt>
                <c:pt idx="10">
                  <c:v>22000</c:v>
                </c:pt>
                <c:pt idx="11">
                  <c:v>9800</c:v>
                </c:pt>
                <c:pt idx="12">
                  <c:v>9500</c:v>
                </c:pt>
                <c:pt idx="13">
                  <c:v>5700</c:v>
                </c:pt>
                <c:pt idx="14">
                  <c:v>5200</c:v>
                </c:pt>
                <c:pt idx="15">
                  <c:v>18600</c:v>
                </c:pt>
                <c:pt idx="17">
                  <c:v>6800</c:v>
                </c:pt>
                <c:pt idx="18">
                  <c:v>4204</c:v>
                </c:pt>
                <c:pt idx="19">
                  <c:v>24000</c:v>
                </c:pt>
                <c:pt idx="20">
                  <c:v>3300</c:v>
                </c:pt>
                <c:pt idx="21">
                  <c:v>18550</c:v>
                </c:pt>
                <c:pt idx="22">
                  <c:v>34500</c:v>
                </c:pt>
                <c:pt idx="23">
                  <c:v>34500</c:v>
                </c:pt>
                <c:pt idx="24">
                  <c:v>9339</c:v>
                </c:pt>
                <c:pt idx="25">
                  <c:v>14000</c:v>
                </c:pt>
                <c:pt idx="26">
                  <c:v>3143</c:v>
                </c:pt>
                <c:pt idx="27">
                  <c:v>8000</c:v>
                </c:pt>
                <c:pt idx="28">
                  <c:v>13500</c:v>
                </c:pt>
                <c:pt idx="29">
                  <c:v>5400</c:v>
                </c:pt>
                <c:pt idx="30">
                  <c:v>9100</c:v>
                </c:pt>
                <c:pt idx="31">
                  <c:v>37000</c:v>
                </c:pt>
                <c:pt idx="32">
                  <c:v>2700</c:v>
                </c:pt>
                <c:pt idx="33">
                  <c:v>7250</c:v>
                </c:pt>
                <c:pt idx="34">
                  <c:v>9639</c:v>
                </c:pt>
              </c:numCache>
            </c:numRef>
          </c:xVal>
          <c:yVal>
            <c:numRef>
              <c:f>'Fighter and trainer'!$K$2:$K$36</c:f>
              <c:numCache>
                <c:formatCode>General</c:formatCode>
                <c:ptCount val="35"/>
                <c:pt idx="2">
                  <c:v>67.5</c:v>
                </c:pt>
                <c:pt idx="3">
                  <c:v>97.5</c:v>
                </c:pt>
                <c:pt idx="5">
                  <c:v>45</c:v>
                </c:pt>
                <c:pt idx="6">
                  <c:v>60</c:v>
                </c:pt>
                <c:pt idx="10">
                  <c:v>15</c:v>
                </c:pt>
                <c:pt idx="12">
                  <c:v>30</c:v>
                </c:pt>
                <c:pt idx="13">
                  <c:v>12</c:v>
                </c:pt>
                <c:pt idx="14">
                  <c:v>11.5</c:v>
                </c:pt>
                <c:pt idx="18">
                  <c:v>12</c:v>
                </c:pt>
                <c:pt idx="19">
                  <c:v>52.5</c:v>
                </c:pt>
                <c:pt idx="24">
                  <c:v>26.25</c:v>
                </c:pt>
                <c:pt idx="25">
                  <c:v>7.5</c:v>
                </c:pt>
                <c:pt idx="27">
                  <c:v>36</c:v>
                </c:pt>
                <c:pt idx="29">
                  <c:v>9</c:v>
                </c:pt>
                <c:pt idx="33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F85-49C1-968D-3F1A5C30A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83888"/>
        <c:axId val="-47958608"/>
      </c:scatterChart>
      <c:valAx>
        <c:axId val="-47965392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  <c:majorUnit val="5000"/>
      </c:valAx>
      <c:valAx>
        <c:axId val="-4796200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Max Thrust (kN)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valAx>
        <c:axId val="-47958608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27283888"/>
        <c:crosses val="max"/>
        <c:crossBetween val="midCat"/>
        <c:majorUnit val="12.5"/>
      </c:valAx>
      <c:valAx>
        <c:axId val="-12728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7958608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1003743871638687"/>
          <c:y val="4.2364634078333858E-2"/>
          <c:w val="0.25970130945444508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Porpulsive Power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6.2423215965928786E-2"/>
                  <c:y val="-7.1708430944933243E-3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'Fighter and trainer'!$G$38:$G$52</c:f>
              <c:numCache>
                <c:formatCode>General</c:formatCode>
                <c:ptCount val="15"/>
                <c:pt idx="0">
                  <c:v>2948</c:v>
                </c:pt>
                <c:pt idx="1">
                  <c:v>1515</c:v>
                </c:pt>
                <c:pt idx="2">
                  <c:v>1150</c:v>
                </c:pt>
                <c:pt idx="3">
                  <c:v>1390</c:v>
                </c:pt>
                <c:pt idx="4">
                  <c:v>1350</c:v>
                </c:pt>
                <c:pt idx="5">
                  <c:v>3205</c:v>
                </c:pt>
                <c:pt idx="6">
                  <c:v>2250</c:v>
                </c:pt>
                <c:pt idx="7">
                  <c:v>4250</c:v>
                </c:pt>
                <c:pt idx="8">
                  <c:v>2600</c:v>
                </c:pt>
                <c:pt idx="9">
                  <c:v>1700</c:v>
                </c:pt>
                <c:pt idx="10">
                  <c:v>1555</c:v>
                </c:pt>
                <c:pt idx="11">
                  <c:v>3190</c:v>
                </c:pt>
                <c:pt idx="12">
                  <c:v>1425</c:v>
                </c:pt>
                <c:pt idx="13">
                  <c:v>2350</c:v>
                </c:pt>
                <c:pt idx="14">
                  <c:v>3200</c:v>
                </c:pt>
              </c:numCache>
            </c:numRef>
          </c:xVal>
          <c:yVal>
            <c:numRef>
              <c:f>'Fighter and trainer'!$J$38:$J$52</c:f>
              <c:numCache>
                <c:formatCode>General</c:formatCode>
                <c:ptCount val="15"/>
                <c:pt idx="0">
                  <c:v>1274</c:v>
                </c:pt>
                <c:pt idx="1">
                  <c:v>283</c:v>
                </c:pt>
                <c:pt idx="2">
                  <c:v>235</c:v>
                </c:pt>
                <c:pt idx="3">
                  <c:v>268</c:v>
                </c:pt>
                <c:pt idx="4">
                  <c:v>194</c:v>
                </c:pt>
                <c:pt idx="5">
                  <c:v>708</c:v>
                </c:pt>
                <c:pt idx="6">
                  <c:v>522</c:v>
                </c:pt>
                <c:pt idx="7">
                  <c:v>1193</c:v>
                </c:pt>
                <c:pt idx="8">
                  <c:v>410</c:v>
                </c:pt>
                <c:pt idx="10">
                  <c:v>235</c:v>
                </c:pt>
                <c:pt idx="11">
                  <c:v>1193</c:v>
                </c:pt>
                <c:pt idx="12">
                  <c:v>746</c:v>
                </c:pt>
                <c:pt idx="13">
                  <c:v>857</c:v>
                </c:pt>
                <c:pt idx="14">
                  <c:v>1193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C15-4C41-BAAD-6C1655918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scatterChart>
        <c:scatterStyle val="lineMarker"/>
        <c:varyColors val="0"/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1.933779032337948E-2"/>
                  <c:y val="0.14536685992894685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</c:spPr>
            </c:trendlineLbl>
          </c:trendline>
          <c:xVal>
            <c:numRef>
              <c:f>'Fighter and trainer'!$G$38:$G$52</c:f>
              <c:numCache>
                <c:formatCode>General</c:formatCode>
                <c:ptCount val="15"/>
                <c:pt idx="0">
                  <c:v>2948</c:v>
                </c:pt>
                <c:pt idx="1">
                  <c:v>1515</c:v>
                </c:pt>
                <c:pt idx="2">
                  <c:v>1150</c:v>
                </c:pt>
                <c:pt idx="3">
                  <c:v>1390</c:v>
                </c:pt>
                <c:pt idx="4">
                  <c:v>1350</c:v>
                </c:pt>
                <c:pt idx="5">
                  <c:v>3205</c:v>
                </c:pt>
                <c:pt idx="6">
                  <c:v>2250</c:v>
                </c:pt>
                <c:pt idx="7">
                  <c:v>4250</c:v>
                </c:pt>
                <c:pt idx="8">
                  <c:v>2600</c:v>
                </c:pt>
                <c:pt idx="9">
                  <c:v>1700</c:v>
                </c:pt>
                <c:pt idx="10">
                  <c:v>1555</c:v>
                </c:pt>
                <c:pt idx="11">
                  <c:v>3190</c:v>
                </c:pt>
                <c:pt idx="12">
                  <c:v>1425</c:v>
                </c:pt>
                <c:pt idx="13">
                  <c:v>2350</c:v>
                </c:pt>
                <c:pt idx="14">
                  <c:v>3200</c:v>
                </c:pt>
              </c:numCache>
            </c:numRef>
          </c:xVal>
          <c:yVal>
            <c:numRef>
              <c:f>'Fighter and trainer'!$K$38:$K$52</c:f>
              <c:numCache>
                <c:formatCode>General</c:formatCode>
                <c:ptCount val="15"/>
                <c:pt idx="0">
                  <c:v>9</c:v>
                </c:pt>
                <c:pt idx="1">
                  <c:v>2.2400000000000002</c:v>
                </c:pt>
                <c:pt idx="2">
                  <c:v>2</c:v>
                </c:pt>
                <c:pt idx="4">
                  <c:v>1.68</c:v>
                </c:pt>
                <c:pt idx="6">
                  <c:v>4.8</c:v>
                </c:pt>
                <c:pt idx="11">
                  <c:v>6</c:v>
                </c:pt>
                <c:pt idx="12">
                  <c:v>6</c:v>
                </c:pt>
                <c:pt idx="13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C15-4C41-BAAD-6C1655918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83888"/>
        <c:axId val="-47958608"/>
      </c:scatterChart>
      <c:valAx>
        <c:axId val="-47965392"/>
        <c:scaling>
          <c:orientation val="minMax"/>
          <c:min val="1000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Propulsive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valAx>
        <c:axId val="-47958608"/>
        <c:scaling>
          <c:orientation val="minMax"/>
          <c:max val="14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27283888"/>
        <c:crosses val="max"/>
        <c:crossBetween val="midCat"/>
      </c:valAx>
      <c:valAx>
        <c:axId val="-12728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7958608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261605506858812"/>
          <c:y val="4.0263057780275405E-2"/>
          <c:w val="0.2546698360818106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Max Thrust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poly"/>
            <c:order val="3"/>
            <c:intercept val="0"/>
            <c:dispRSqr val="1"/>
            <c:dispEq val="1"/>
            <c:trendlineLbl>
              <c:layout>
                <c:manualLayout>
                  <c:x val="-0.34616215171986803"/>
                  <c:y val="0.23440858081716159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Transport!$G$2:$G$10</c:f>
              <c:numCache>
                <c:formatCode>General</c:formatCode>
                <c:ptCount val="9"/>
                <c:pt idx="0">
                  <c:v>233900</c:v>
                </c:pt>
                <c:pt idx="1">
                  <c:v>265350</c:v>
                </c:pt>
                <c:pt idx="2">
                  <c:v>80978</c:v>
                </c:pt>
                <c:pt idx="3">
                  <c:v>220000</c:v>
                </c:pt>
                <c:pt idx="4">
                  <c:v>141000</c:v>
                </c:pt>
                <c:pt idx="5">
                  <c:v>210000</c:v>
                </c:pt>
                <c:pt idx="6">
                  <c:v>179170</c:v>
                </c:pt>
                <c:pt idx="7">
                  <c:v>220000</c:v>
                </c:pt>
                <c:pt idx="8">
                  <c:v>68000</c:v>
                </c:pt>
              </c:numCache>
            </c:numRef>
          </c:xVal>
          <c:yVal>
            <c:numRef>
              <c:f>Transport!$I$2:$I$10</c:f>
              <c:numCache>
                <c:formatCode>General</c:formatCode>
                <c:ptCount val="9"/>
                <c:pt idx="0">
                  <c:v>632</c:v>
                </c:pt>
                <c:pt idx="1">
                  <c:v>719.6</c:v>
                </c:pt>
                <c:pt idx="2">
                  <c:v>240</c:v>
                </c:pt>
                <c:pt idx="3">
                  <c:v>472</c:v>
                </c:pt>
                <c:pt idx="4">
                  <c:v>456</c:v>
                </c:pt>
                <c:pt idx="5">
                  <c:v>568</c:v>
                </c:pt>
                <c:pt idx="6">
                  <c:v>552</c:v>
                </c:pt>
                <c:pt idx="7">
                  <c:v>472</c:v>
                </c:pt>
                <c:pt idx="8">
                  <c:v>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A56-49EC-A9CB-87F019872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scatterChart>
        <c:scatterStyle val="lineMarker"/>
        <c:varyColors val="0"/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-7.3049782679650274E-2"/>
                  <c:y val="0.21534296401926137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</c:spPr>
            </c:trendlineLbl>
          </c:trendline>
          <c:xVal>
            <c:numRef>
              <c:f>Transport!$G$2:$G$10</c:f>
              <c:numCache>
                <c:formatCode>General</c:formatCode>
                <c:ptCount val="9"/>
                <c:pt idx="0">
                  <c:v>233900</c:v>
                </c:pt>
                <c:pt idx="1">
                  <c:v>265350</c:v>
                </c:pt>
                <c:pt idx="2">
                  <c:v>80978</c:v>
                </c:pt>
                <c:pt idx="3">
                  <c:v>220000</c:v>
                </c:pt>
                <c:pt idx="4">
                  <c:v>141000</c:v>
                </c:pt>
                <c:pt idx="5">
                  <c:v>210000</c:v>
                </c:pt>
                <c:pt idx="6">
                  <c:v>179170</c:v>
                </c:pt>
                <c:pt idx="7">
                  <c:v>220000</c:v>
                </c:pt>
                <c:pt idx="8">
                  <c:v>68000</c:v>
                </c:pt>
              </c:numCache>
            </c:numRef>
          </c:xVal>
          <c:yVal>
            <c:numRef>
              <c:f>Transport!$K$2:$K$10</c:f>
              <c:numCache>
                <c:formatCode>General</c:formatCode>
                <c:ptCount val="9"/>
                <c:pt idx="0">
                  <c:v>258.75</c:v>
                </c:pt>
                <c:pt idx="1">
                  <c:v>202.5</c:v>
                </c:pt>
                <c:pt idx="2">
                  <c:v>67.5</c:v>
                </c:pt>
                <c:pt idx="6">
                  <c:v>202.5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A56-49EC-A9CB-87F019872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83888"/>
        <c:axId val="-47958608"/>
      </c:scatterChart>
      <c:valAx>
        <c:axId val="-47965392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Max Thrust (kN)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valAx>
        <c:axId val="-47958608"/>
        <c:scaling>
          <c:orientation val="minMax"/>
          <c:max val="4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27283888"/>
        <c:crosses val="max"/>
        <c:crossBetween val="midCat"/>
      </c:valAx>
      <c:valAx>
        <c:axId val="-12728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7958608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1003743871638687"/>
          <c:y val="4.2364634078333858E-2"/>
          <c:w val="0.25970130945444508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Propulsive Power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-0.11647655064125557"/>
                  <c:y val="0.10994027321387977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Transport!$G$12:$G$32</c:f>
              <c:numCache>
                <c:formatCode>General</c:formatCode>
                <c:ptCount val="21"/>
                <c:pt idx="0">
                  <c:v>137500</c:v>
                </c:pt>
                <c:pt idx="1">
                  <c:v>145000</c:v>
                </c:pt>
                <c:pt idx="2">
                  <c:v>79380</c:v>
                </c:pt>
                <c:pt idx="3">
                  <c:v>21000</c:v>
                </c:pt>
                <c:pt idx="4">
                  <c:v>16500</c:v>
                </c:pt>
                <c:pt idx="5">
                  <c:v>31800</c:v>
                </c:pt>
                <c:pt idx="6">
                  <c:v>27000</c:v>
                </c:pt>
                <c:pt idx="7">
                  <c:v>4264</c:v>
                </c:pt>
                <c:pt idx="8">
                  <c:v>5670</c:v>
                </c:pt>
                <c:pt idx="9">
                  <c:v>5300</c:v>
                </c:pt>
                <c:pt idx="10">
                  <c:v>61000</c:v>
                </c:pt>
                <c:pt idx="11">
                  <c:v>65000</c:v>
                </c:pt>
                <c:pt idx="12">
                  <c:v>6400</c:v>
                </c:pt>
                <c:pt idx="13">
                  <c:v>8100</c:v>
                </c:pt>
                <c:pt idx="14">
                  <c:v>7500</c:v>
                </c:pt>
                <c:pt idx="15">
                  <c:v>6600</c:v>
                </c:pt>
                <c:pt idx="16">
                  <c:v>6400</c:v>
                </c:pt>
                <c:pt idx="17">
                  <c:v>6100</c:v>
                </c:pt>
                <c:pt idx="18">
                  <c:v>8100</c:v>
                </c:pt>
                <c:pt idx="19">
                  <c:v>7030</c:v>
                </c:pt>
                <c:pt idx="20">
                  <c:v>7500</c:v>
                </c:pt>
              </c:numCache>
            </c:numRef>
          </c:xVal>
          <c:yVal>
            <c:numRef>
              <c:f>Transport!$J$12:$J$32</c:f>
              <c:numCache>
                <c:formatCode>General</c:formatCode>
                <c:ptCount val="21"/>
                <c:pt idx="0">
                  <c:v>38776</c:v>
                </c:pt>
                <c:pt idx="1">
                  <c:v>41160</c:v>
                </c:pt>
                <c:pt idx="2">
                  <c:v>13696</c:v>
                </c:pt>
                <c:pt idx="3">
                  <c:v>4354</c:v>
                </c:pt>
                <c:pt idx="4">
                  <c:v>2789</c:v>
                </c:pt>
                <c:pt idx="5">
                  <c:v>6916</c:v>
                </c:pt>
                <c:pt idx="6">
                  <c:v>6986</c:v>
                </c:pt>
                <c:pt idx="7">
                  <c:v>626</c:v>
                </c:pt>
                <c:pt idx="8">
                  <c:v>928</c:v>
                </c:pt>
                <c:pt idx="9">
                  <c:v>924</c:v>
                </c:pt>
                <c:pt idx="10">
                  <c:v>12504</c:v>
                </c:pt>
                <c:pt idx="11">
                  <c:v>15212</c:v>
                </c:pt>
                <c:pt idx="12">
                  <c:v>1066</c:v>
                </c:pt>
                <c:pt idx="13">
                  <c:v>1380</c:v>
                </c:pt>
                <c:pt idx="14">
                  <c:v>1432</c:v>
                </c:pt>
                <c:pt idx="15">
                  <c:v>1118</c:v>
                </c:pt>
                <c:pt idx="16">
                  <c:v>1158</c:v>
                </c:pt>
                <c:pt idx="17">
                  <c:v>1268</c:v>
                </c:pt>
                <c:pt idx="18">
                  <c:v>1380</c:v>
                </c:pt>
                <c:pt idx="19">
                  <c:v>1268</c:v>
                </c:pt>
                <c:pt idx="20">
                  <c:v>1640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CE9-4746-8120-C299EE5C8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scatterChart>
        <c:scatterStyle val="lineMarker"/>
        <c:varyColors val="0"/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2.3734018099425692E-2"/>
                  <c:y val="0.17396011325355984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</c:spPr>
            </c:trendlineLbl>
          </c:trendline>
          <c:xVal>
            <c:numRef>
              <c:f>Transport!$G$12:$G$32</c:f>
              <c:numCache>
                <c:formatCode>General</c:formatCode>
                <c:ptCount val="21"/>
                <c:pt idx="0">
                  <c:v>137500</c:v>
                </c:pt>
                <c:pt idx="1">
                  <c:v>145000</c:v>
                </c:pt>
                <c:pt idx="2">
                  <c:v>79380</c:v>
                </c:pt>
                <c:pt idx="3">
                  <c:v>21000</c:v>
                </c:pt>
                <c:pt idx="4">
                  <c:v>16500</c:v>
                </c:pt>
                <c:pt idx="5">
                  <c:v>31800</c:v>
                </c:pt>
                <c:pt idx="6">
                  <c:v>27000</c:v>
                </c:pt>
                <c:pt idx="7">
                  <c:v>4264</c:v>
                </c:pt>
                <c:pt idx="8">
                  <c:v>5670</c:v>
                </c:pt>
                <c:pt idx="9">
                  <c:v>5300</c:v>
                </c:pt>
                <c:pt idx="10">
                  <c:v>61000</c:v>
                </c:pt>
                <c:pt idx="11">
                  <c:v>65000</c:v>
                </c:pt>
                <c:pt idx="12">
                  <c:v>6400</c:v>
                </c:pt>
                <c:pt idx="13">
                  <c:v>8100</c:v>
                </c:pt>
                <c:pt idx="14">
                  <c:v>7500</c:v>
                </c:pt>
                <c:pt idx="15">
                  <c:v>6600</c:v>
                </c:pt>
                <c:pt idx="16">
                  <c:v>6400</c:v>
                </c:pt>
                <c:pt idx="17">
                  <c:v>6100</c:v>
                </c:pt>
                <c:pt idx="18">
                  <c:v>8100</c:v>
                </c:pt>
                <c:pt idx="19">
                  <c:v>7030</c:v>
                </c:pt>
                <c:pt idx="20">
                  <c:v>7500</c:v>
                </c:pt>
              </c:numCache>
            </c:numRef>
          </c:xVal>
          <c:yVal>
            <c:numRef>
              <c:f>Transport!$K$12:$K$32</c:f>
              <c:numCache>
                <c:formatCode>General</c:formatCode>
                <c:ptCount val="21"/>
                <c:pt idx="0">
                  <c:v>225</c:v>
                </c:pt>
                <c:pt idx="2">
                  <c:v>202.5</c:v>
                </c:pt>
                <c:pt idx="4">
                  <c:v>22.4</c:v>
                </c:pt>
                <c:pt idx="5">
                  <c:v>135</c:v>
                </c:pt>
                <c:pt idx="8">
                  <c:v>1.3440000000000001</c:v>
                </c:pt>
                <c:pt idx="9">
                  <c:v>12</c:v>
                </c:pt>
                <c:pt idx="10">
                  <c:v>96</c:v>
                </c:pt>
                <c:pt idx="11">
                  <c:v>96</c:v>
                </c:pt>
                <c:pt idx="12">
                  <c:v>14</c:v>
                </c:pt>
                <c:pt idx="13">
                  <c:v>18</c:v>
                </c:pt>
                <c:pt idx="15">
                  <c:v>11.2</c:v>
                </c:pt>
                <c:pt idx="17">
                  <c:v>24</c:v>
                </c:pt>
                <c:pt idx="18">
                  <c:v>18</c:v>
                </c:pt>
                <c:pt idx="20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CE9-4746-8120-C299EE5C8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83888"/>
        <c:axId val="-47958608"/>
      </c:scatterChart>
      <c:valAx>
        <c:axId val="-47965392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Propulsive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valAx>
        <c:axId val="-47958608"/>
        <c:scaling>
          <c:orientation val="minMax"/>
          <c:max val="45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27283888"/>
        <c:crosses val="max"/>
        <c:crossBetween val="midCat"/>
      </c:valAx>
      <c:valAx>
        <c:axId val="-12728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7958608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3392915822388399"/>
          <c:y val="4.0263045859425049E-2"/>
          <c:w val="0.2546698360818106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Max Thrust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solid"/>
              </a:ln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-9.5912287703111776E-2"/>
                  <c:y val="3.2707628081922832E-2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'Airliner and freighter'!$G$2:$G$44</c:f>
              <c:numCache>
                <c:formatCode>General</c:formatCode>
                <c:ptCount val="43"/>
                <c:pt idx="0">
                  <c:v>560000</c:v>
                </c:pt>
                <c:pt idx="1">
                  <c:v>590000</c:v>
                </c:pt>
                <c:pt idx="2">
                  <c:v>268000</c:v>
                </c:pt>
                <c:pt idx="3">
                  <c:v>275000</c:v>
                </c:pt>
                <c:pt idx="4">
                  <c:v>308000</c:v>
                </c:pt>
                <c:pt idx="5">
                  <c:v>230000</c:v>
                </c:pt>
                <c:pt idx="6">
                  <c:v>230000</c:v>
                </c:pt>
                <c:pt idx="7">
                  <c:v>227000</c:v>
                </c:pt>
                <c:pt idx="8">
                  <c:v>89000</c:v>
                </c:pt>
                <c:pt idx="9">
                  <c:v>93500</c:v>
                </c:pt>
                <c:pt idx="10">
                  <c:v>73500</c:v>
                </c:pt>
                <c:pt idx="11">
                  <c:v>79000</c:v>
                </c:pt>
                <c:pt idx="12">
                  <c:v>64000</c:v>
                </c:pt>
                <c:pt idx="13">
                  <c:v>66000</c:v>
                </c:pt>
                <c:pt idx="14">
                  <c:v>227930</c:v>
                </c:pt>
                <c:pt idx="15">
                  <c:v>297555</c:v>
                </c:pt>
                <c:pt idx="16">
                  <c:v>351535</c:v>
                </c:pt>
                <c:pt idx="17">
                  <c:v>347815</c:v>
                </c:pt>
                <c:pt idx="18">
                  <c:v>179170</c:v>
                </c:pt>
                <c:pt idx="19">
                  <c:v>186880</c:v>
                </c:pt>
                <c:pt idx="20">
                  <c:v>204115</c:v>
                </c:pt>
                <c:pt idx="21">
                  <c:v>185065</c:v>
                </c:pt>
                <c:pt idx="22">
                  <c:v>447695</c:v>
                </c:pt>
                <c:pt idx="23">
                  <c:v>442255</c:v>
                </c:pt>
                <c:pt idx="24">
                  <c:v>65090</c:v>
                </c:pt>
                <c:pt idx="25">
                  <c:v>70080</c:v>
                </c:pt>
                <c:pt idx="26">
                  <c:v>79015</c:v>
                </c:pt>
                <c:pt idx="27">
                  <c:v>79015</c:v>
                </c:pt>
                <c:pt idx="28">
                  <c:v>58515</c:v>
                </c:pt>
                <c:pt idx="29">
                  <c:v>36514</c:v>
                </c:pt>
                <c:pt idx="30">
                  <c:v>40823</c:v>
                </c:pt>
                <c:pt idx="31">
                  <c:v>38820</c:v>
                </c:pt>
                <c:pt idx="32">
                  <c:v>24100</c:v>
                </c:pt>
                <c:pt idx="33">
                  <c:v>74300</c:v>
                </c:pt>
                <c:pt idx="34">
                  <c:v>43616</c:v>
                </c:pt>
                <c:pt idx="35">
                  <c:v>23133</c:v>
                </c:pt>
                <c:pt idx="36">
                  <c:v>36995</c:v>
                </c:pt>
                <c:pt idx="37">
                  <c:v>240000</c:v>
                </c:pt>
                <c:pt idx="38">
                  <c:v>103000</c:v>
                </c:pt>
                <c:pt idx="39">
                  <c:v>41550</c:v>
                </c:pt>
                <c:pt idx="40">
                  <c:v>35990</c:v>
                </c:pt>
                <c:pt idx="41">
                  <c:v>38995</c:v>
                </c:pt>
                <c:pt idx="42">
                  <c:v>72390</c:v>
                </c:pt>
              </c:numCache>
            </c:numRef>
          </c:xVal>
          <c:yVal>
            <c:numRef>
              <c:f>'Airliner and freighter'!$I$2:$I$44</c:f>
              <c:numCache>
                <c:formatCode>General</c:formatCode>
                <c:ptCount val="43"/>
                <c:pt idx="0">
                  <c:v>1428</c:v>
                </c:pt>
                <c:pt idx="1">
                  <c:v>1428</c:v>
                </c:pt>
                <c:pt idx="2">
                  <c:v>750</c:v>
                </c:pt>
                <c:pt idx="3">
                  <c:v>750</c:v>
                </c:pt>
                <c:pt idx="4">
                  <c:v>862</c:v>
                </c:pt>
                <c:pt idx="5">
                  <c:v>622</c:v>
                </c:pt>
                <c:pt idx="6">
                  <c:v>600</c:v>
                </c:pt>
                <c:pt idx="7">
                  <c:v>600</c:v>
                </c:pt>
                <c:pt idx="8">
                  <c:v>266</c:v>
                </c:pt>
                <c:pt idx="9">
                  <c:v>281.2</c:v>
                </c:pt>
                <c:pt idx="10">
                  <c:v>236</c:v>
                </c:pt>
                <c:pt idx="11">
                  <c:v>249.2</c:v>
                </c:pt>
                <c:pt idx="12">
                  <c:v>240.2</c:v>
                </c:pt>
                <c:pt idx="13">
                  <c:v>207.2</c:v>
                </c:pt>
                <c:pt idx="14">
                  <c:v>576</c:v>
                </c:pt>
                <c:pt idx="15">
                  <c:v>830</c:v>
                </c:pt>
                <c:pt idx="16">
                  <c:v>1024</c:v>
                </c:pt>
                <c:pt idx="17">
                  <c:v>830</c:v>
                </c:pt>
                <c:pt idx="18">
                  <c:v>552</c:v>
                </c:pt>
                <c:pt idx="19">
                  <c:v>552</c:v>
                </c:pt>
                <c:pt idx="20">
                  <c:v>564</c:v>
                </c:pt>
                <c:pt idx="21">
                  <c:v>534</c:v>
                </c:pt>
                <c:pt idx="22">
                  <c:v>1184</c:v>
                </c:pt>
                <c:pt idx="23">
                  <c:v>1184</c:v>
                </c:pt>
                <c:pt idx="24">
                  <c:v>173.4</c:v>
                </c:pt>
                <c:pt idx="25">
                  <c:v>183.2</c:v>
                </c:pt>
                <c:pt idx="26">
                  <c:v>215.2</c:v>
                </c:pt>
                <c:pt idx="27">
                  <c:v>234</c:v>
                </c:pt>
                <c:pt idx="28">
                  <c:v>207.2</c:v>
                </c:pt>
                <c:pt idx="29">
                  <c:v>129</c:v>
                </c:pt>
                <c:pt idx="30">
                  <c:v>129</c:v>
                </c:pt>
                <c:pt idx="31">
                  <c:v>153.80000000000001</c:v>
                </c:pt>
                <c:pt idx="32">
                  <c:v>79.2</c:v>
                </c:pt>
                <c:pt idx="33">
                  <c:v>240</c:v>
                </c:pt>
                <c:pt idx="34">
                  <c:v>140</c:v>
                </c:pt>
                <c:pt idx="35">
                  <c:v>82</c:v>
                </c:pt>
                <c:pt idx="36">
                  <c:v>116.8</c:v>
                </c:pt>
                <c:pt idx="37">
                  <c:v>627.6</c:v>
                </c:pt>
                <c:pt idx="38">
                  <c:v>314</c:v>
                </c:pt>
                <c:pt idx="39">
                  <c:v>134</c:v>
                </c:pt>
                <c:pt idx="40">
                  <c:v>126.4</c:v>
                </c:pt>
                <c:pt idx="41">
                  <c:v>156.6</c:v>
                </c:pt>
                <c:pt idx="42">
                  <c:v>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066-4CA2-8F6F-D1FFE3BF2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7965392"/>
        <c:axId val="-47962000"/>
      </c:scatterChart>
      <c:scatterChart>
        <c:scatterStyle val="lineMarker"/>
        <c:varyColors val="0"/>
        <c:ser>
          <c:idx val="2"/>
          <c:order val="1"/>
          <c:tx>
            <c:v>Electrical Generation</c:v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3.707351575286659E-2"/>
                  <c:y val="0.16306264079194824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</c:spPr>
            </c:trendlineLbl>
          </c:trendline>
          <c:xVal>
            <c:numRef>
              <c:f>'Airliner and freighter'!$G$2:$G$44</c:f>
              <c:numCache>
                <c:formatCode>General</c:formatCode>
                <c:ptCount val="43"/>
                <c:pt idx="0">
                  <c:v>560000</c:v>
                </c:pt>
                <c:pt idx="1">
                  <c:v>590000</c:v>
                </c:pt>
                <c:pt idx="2">
                  <c:v>268000</c:v>
                </c:pt>
                <c:pt idx="3">
                  <c:v>275000</c:v>
                </c:pt>
                <c:pt idx="4">
                  <c:v>308000</c:v>
                </c:pt>
                <c:pt idx="5">
                  <c:v>230000</c:v>
                </c:pt>
                <c:pt idx="6">
                  <c:v>230000</c:v>
                </c:pt>
                <c:pt idx="7">
                  <c:v>227000</c:v>
                </c:pt>
                <c:pt idx="8">
                  <c:v>89000</c:v>
                </c:pt>
                <c:pt idx="9">
                  <c:v>93500</c:v>
                </c:pt>
                <c:pt idx="10">
                  <c:v>73500</c:v>
                </c:pt>
                <c:pt idx="11">
                  <c:v>79000</c:v>
                </c:pt>
                <c:pt idx="12">
                  <c:v>64000</c:v>
                </c:pt>
                <c:pt idx="13">
                  <c:v>66000</c:v>
                </c:pt>
                <c:pt idx="14">
                  <c:v>227930</c:v>
                </c:pt>
                <c:pt idx="15">
                  <c:v>297555</c:v>
                </c:pt>
                <c:pt idx="16">
                  <c:v>351535</c:v>
                </c:pt>
                <c:pt idx="17">
                  <c:v>347815</c:v>
                </c:pt>
                <c:pt idx="18">
                  <c:v>179170</c:v>
                </c:pt>
                <c:pt idx="19">
                  <c:v>186880</c:v>
                </c:pt>
                <c:pt idx="20">
                  <c:v>204115</c:v>
                </c:pt>
                <c:pt idx="21">
                  <c:v>185065</c:v>
                </c:pt>
                <c:pt idx="22">
                  <c:v>447695</c:v>
                </c:pt>
                <c:pt idx="23">
                  <c:v>442255</c:v>
                </c:pt>
                <c:pt idx="24">
                  <c:v>65090</c:v>
                </c:pt>
                <c:pt idx="25">
                  <c:v>70080</c:v>
                </c:pt>
                <c:pt idx="26">
                  <c:v>79015</c:v>
                </c:pt>
                <c:pt idx="27">
                  <c:v>79015</c:v>
                </c:pt>
                <c:pt idx="28">
                  <c:v>58515</c:v>
                </c:pt>
                <c:pt idx="29">
                  <c:v>36514</c:v>
                </c:pt>
                <c:pt idx="30">
                  <c:v>40823</c:v>
                </c:pt>
                <c:pt idx="31">
                  <c:v>38820</c:v>
                </c:pt>
                <c:pt idx="32">
                  <c:v>24100</c:v>
                </c:pt>
                <c:pt idx="33">
                  <c:v>74300</c:v>
                </c:pt>
                <c:pt idx="34">
                  <c:v>43616</c:v>
                </c:pt>
                <c:pt idx="35">
                  <c:v>23133</c:v>
                </c:pt>
                <c:pt idx="36">
                  <c:v>36995</c:v>
                </c:pt>
                <c:pt idx="37">
                  <c:v>240000</c:v>
                </c:pt>
                <c:pt idx="38">
                  <c:v>103000</c:v>
                </c:pt>
                <c:pt idx="39">
                  <c:v>41550</c:v>
                </c:pt>
                <c:pt idx="40">
                  <c:v>35990</c:v>
                </c:pt>
                <c:pt idx="41">
                  <c:v>38995</c:v>
                </c:pt>
                <c:pt idx="42">
                  <c:v>72390</c:v>
                </c:pt>
              </c:numCache>
            </c:numRef>
          </c:xVal>
          <c:yVal>
            <c:numRef>
              <c:f>'Airliner and freighter'!$K$2:$K$44</c:f>
              <c:numCache>
                <c:formatCode>General</c:formatCode>
                <c:ptCount val="43"/>
                <c:pt idx="0">
                  <c:v>675</c:v>
                </c:pt>
                <c:pt idx="1">
                  <c:v>675</c:v>
                </c:pt>
                <c:pt idx="2">
                  <c:v>450</c:v>
                </c:pt>
                <c:pt idx="3">
                  <c:v>450</c:v>
                </c:pt>
                <c:pt idx="4">
                  <c:v>450</c:v>
                </c:pt>
                <c:pt idx="5">
                  <c:v>258.75</c:v>
                </c:pt>
                <c:pt idx="6">
                  <c:v>258.75</c:v>
                </c:pt>
                <c:pt idx="7">
                  <c:v>258.75</c:v>
                </c:pt>
                <c:pt idx="8">
                  <c:v>202.5</c:v>
                </c:pt>
                <c:pt idx="9">
                  <c:v>202.5</c:v>
                </c:pt>
                <c:pt idx="10">
                  <c:v>202.5</c:v>
                </c:pt>
                <c:pt idx="11">
                  <c:v>202.5</c:v>
                </c:pt>
                <c:pt idx="12">
                  <c:v>202.5</c:v>
                </c:pt>
                <c:pt idx="13">
                  <c:v>202.5</c:v>
                </c:pt>
                <c:pt idx="15">
                  <c:v>270</c:v>
                </c:pt>
                <c:pt idx="16">
                  <c:v>270</c:v>
                </c:pt>
                <c:pt idx="17">
                  <c:v>270</c:v>
                </c:pt>
                <c:pt idx="18">
                  <c:v>202.5</c:v>
                </c:pt>
                <c:pt idx="19">
                  <c:v>202.5</c:v>
                </c:pt>
                <c:pt idx="20">
                  <c:v>247.5</c:v>
                </c:pt>
                <c:pt idx="21">
                  <c:v>202.5</c:v>
                </c:pt>
                <c:pt idx="22">
                  <c:v>405</c:v>
                </c:pt>
                <c:pt idx="23">
                  <c:v>405</c:v>
                </c:pt>
                <c:pt idx="24">
                  <c:v>67.5</c:v>
                </c:pt>
                <c:pt idx="25">
                  <c:v>67.5</c:v>
                </c:pt>
                <c:pt idx="26">
                  <c:v>67.5</c:v>
                </c:pt>
                <c:pt idx="27">
                  <c:v>67.5</c:v>
                </c:pt>
                <c:pt idx="29">
                  <c:v>60</c:v>
                </c:pt>
                <c:pt idx="31">
                  <c:v>90</c:v>
                </c:pt>
                <c:pt idx="34">
                  <c:v>30</c:v>
                </c:pt>
                <c:pt idx="35">
                  <c:v>45</c:v>
                </c:pt>
                <c:pt idx="36">
                  <c:v>60</c:v>
                </c:pt>
                <c:pt idx="4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066-4CA2-8F6F-D1FFE3BF2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83888"/>
        <c:axId val="-47958608"/>
      </c:scatterChart>
      <c:valAx>
        <c:axId val="-47965392"/>
        <c:scaling>
          <c:orientation val="minMax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Maximum Take-Off Weight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2000"/>
        <c:crosses val="autoZero"/>
        <c:crossBetween val="midCat"/>
      </c:valAx>
      <c:valAx>
        <c:axId val="-4796200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Max Thrust (kN)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47965392"/>
        <c:crosses val="autoZero"/>
        <c:crossBetween val="midCat"/>
      </c:valAx>
      <c:valAx>
        <c:axId val="-47958608"/>
        <c:scaling>
          <c:orientation val="minMax"/>
          <c:max val="8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Electrical Generation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27283888"/>
        <c:crosses val="max"/>
        <c:crossBetween val="midCat"/>
      </c:valAx>
      <c:valAx>
        <c:axId val="-12728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7958608"/>
        <c:crosses val="autoZero"/>
        <c:crossBetween val="midCat"/>
      </c:valAx>
      <c:spPr>
        <a:noFill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1757955615311587"/>
          <c:y val="3.6065389464112259E-2"/>
          <c:w val="0.25970130945444508"/>
          <c:h val="8.9313799606937694E-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 codeName="Chart14"/>
  <sheetViews>
    <sheetView workbookViewId="0"/>
  </sheetViews>
  <pageMargins left="0.25" right="0.25" top="0.75" bottom="0.75" header="0.3" footer="0.3"/>
  <pageSetup paperSize="9"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 codeName="Chart16"/>
  <sheetViews>
    <sheetView workbookViewId="0"/>
  </sheetViews>
  <pageMargins left="0.25" right="0.25" top="0.75" bottom="0.75" header="0.3" footer="0.3"/>
  <pageSetup paperSize="9" orientation="landscape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 codeName="Chart17"/>
  <sheetViews>
    <sheetView workbookViewId="0"/>
  </sheetViews>
  <pageMargins left="0.25" right="0.25" top="0.75" bottom="0.75" header="0.3" footer="0.3"/>
  <pageSetup paperSize="9" orientation="landscape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 codeName="Chart19"/>
  <sheetViews>
    <sheetView workbookViewId="0"/>
  </sheetViews>
  <pageMargins left="0.25" right="0.25" top="0.75" bottom="0.75" header="0.3" footer="0.3"/>
  <pageSetup paperSize="9" orientation="landscape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700-000000000000}">
  <sheetPr codeName="Chart21"/>
  <sheetViews>
    <sheetView workbookViewId="0"/>
  </sheetViews>
  <pageMargins left="0.25" right="0.25" top="0.75" bottom="0.75" header="0.3" footer="0.3"/>
  <pageSetup paperSize="9" orientation="landscape" r:id="rId1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900-000000000000}">
  <sheetPr codeName="Chart23"/>
  <sheetViews>
    <sheetView workbookViewId="0"/>
  </sheetViews>
  <pageMargins left="0.25" right="0.25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Chart1"/>
  <sheetViews>
    <sheetView workbookViewId="0"/>
  </sheetViews>
  <pageMargins left="0.25" right="0.25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 codeName="Chart3"/>
  <sheetViews>
    <sheetView workbookViewId="0"/>
  </sheetViews>
  <pageMargins left="0.25" right="0.25" top="0.75" bottom="0.75" header="0.3" footer="0.3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 codeName="Chart5"/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 codeName="Chart7"/>
  <sheetViews>
    <sheetView workbookViewId="0"/>
  </sheetViews>
  <pageMargins left="0.25" right="0.25" top="0.75" bottom="0.75" header="0.3" footer="0.3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 codeName="Chart8"/>
  <sheetViews>
    <sheetView workbookViewId="0"/>
  </sheetViews>
  <pageMargins left="0.25" right="0.25" top="0.75" bottom="0.75" header="0.3" footer="0.3"/>
  <pageSetup paperSize="9"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 codeName="Chart10"/>
  <sheetViews>
    <sheetView workbookViewId="0"/>
  </sheetViews>
  <pageMargins left="0.25" right="0.25" top="0.75" bottom="0.75" header="0.3" footer="0.3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 codeName="Chart11"/>
  <sheetViews>
    <sheetView workbookViewId="0"/>
  </sheetViews>
  <pageMargins left="0.25" right="0.25" top="0.75" bottom="0.75" header="0.3" footer="0.3"/>
  <pageSetup paperSize="9"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 codeName="Chart13"/>
  <sheetViews>
    <sheetView workbookViewId="0"/>
  </sheetViews>
  <pageMargins left="0.25" right="0.25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10103304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10103304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10103304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10103304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10103304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10103304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0103304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0103304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0096500" cy="604308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10096500" cy="604308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0104438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10103304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10103304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77952-4E06-4B57-B5E4-CE7DF96743A3}">
  <sheetPr>
    <tabColor rgb="FF92D050"/>
  </sheetPr>
  <dimension ref="A1:K7"/>
  <sheetViews>
    <sheetView zoomScale="80" zoomScaleNormal="80" workbookViewId="0">
      <selection activeCell="I17" sqref="I17"/>
    </sheetView>
  </sheetViews>
  <sheetFormatPr defaultRowHeight="12.75" x14ac:dyDescent="0.2"/>
  <cols>
    <col min="1" max="1" width="32.42578125" bestFit="1" customWidth="1"/>
    <col min="2" max="2" width="29.140625" bestFit="1" customWidth="1"/>
    <col min="3" max="3" width="14.28515625" bestFit="1" customWidth="1"/>
    <col min="4" max="4" width="17" bestFit="1" customWidth="1"/>
    <col min="5" max="5" width="13.42578125" bestFit="1" customWidth="1"/>
    <col min="6" max="6" width="12.85546875" bestFit="1" customWidth="1"/>
    <col min="7" max="7" width="13.5703125" bestFit="1" customWidth="1"/>
    <col min="8" max="8" width="25" bestFit="1" customWidth="1"/>
    <col min="9" max="9" width="27.28515625" bestFit="1" customWidth="1"/>
    <col min="10" max="10" width="31.28515625" bestFit="1" customWidth="1"/>
  </cols>
  <sheetData>
    <row r="1" spans="1:11" s="3" customFormat="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19</v>
      </c>
      <c r="I1" s="2" t="s">
        <v>7</v>
      </c>
      <c r="J1" s="2" t="s">
        <v>8</v>
      </c>
    </row>
    <row r="2" spans="1:11" s="3" customFormat="1" ht="15" x14ac:dyDescent="0.2">
      <c r="A2" s="1" t="s">
        <v>10</v>
      </c>
      <c r="B2" s="1">
        <v>159</v>
      </c>
      <c r="C2" s="1">
        <v>700</v>
      </c>
      <c r="D2" s="1">
        <v>20</v>
      </c>
      <c r="E2" s="1">
        <v>7.4</v>
      </c>
      <c r="F2" s="1">
        <v>1.64</v>
      </c>
      <c r="G2" s="1">
        <v>825</v>
      </c>
      <c r="H2" s="1"/>
      <c r="I2" s="1">
        <v>33</v>
      </c>
      <c r="J2" s="1">
        <v>25</v>
      </c>
      <c r="K2" s="1"/>
    </row>
    <row r="3" spans="1:11" s="3" customFormat="1" ht="15" x14ac:dyDescent="0.2">
      <c r="A3" s="1" t="s">
        <v>11</v>
      </c>
      <c r="B3" s="1">
        <v>200</v>
      </c>
      <c r="C3" s="1">
        <v>1500</v>
      </c>
      <c r="D3" s="1">
        <v>21.36</v>
      </c>
      <c r="E3" s="1">
        <v>7.4</v>
      </c>
      <c r="F3" s="1"/>
      <c r="G3" s="1">
        <v>1500</v>
      </c>
      <c r="H3" s="1"/>
      <c r="I3" s="1">
        <v>80</v>
      </c>
      <c r="J3" s="1">
        <v>45</v>
      </c>
      <c r="K3" s="1"/>
    </row>
    <row r="4" spans="1:11" s="3" customFormat="1" ht="15" x14ac:dyDescent="0.2">
      <c r="A4" s="3" t="s">
        <v>472</v>
      </c>
      <c r="B4" s="3">
        <v>52.2</v>
      </c>
      <c r="D4" s="3">
        <v>6.58</v>
      </c>
      <c r="E4" s="3">
        <v>2.38</v>
      </c>
      <c r="G4" s="3">
        <v>16.399999999999999</v>
      </c>
      <c r="I4" s="3">
        <v>0.4</v>
      </c>
      <c r="J4" s="3">
        <v>0.46500000000000002</v>
      </c>
    </row>
    <row r="5" spans="1:11" s="3" customFormat="1" ht="15" x14ac:dyDescent="0.2">
      <c r="A5" s="3" t="s">
        <v>473</v>
      </c>
      <c r="D5" s="3">
        <v>4.4000000000000004</v>
      </c>
      <c r="G5" s="3">
        <v>5</v>
      </c>
      <c r="I5" s="3">
        <v>0.15</v>
      </c>
      <c r="J5" s="3">
        <v>0.15</v>
      </c>
    </row>
    <row r="6" spans="1:11" s="3" customFormat="1" ht="15" x14ac:dyDescent="0.2">
      <c r="A6" s="3" t="s">
        <v>474</v>
      </c>
      <c r="B6" s="3">
        <v>40</v>
      </c>
      <c r="D6" s="3">
        <v>2</v>
      </c>
      <c r="E6" s="3">
        <v>1.08</v>
      </c>
      <c r="G6" s="3">
        <v>2.5</v>
      </c>
      <c r="I6" s="3">
        <v>0.3</v>
      </c>
      <c r="J6" s="3">
        <v>0.1</v>
      </c>
    </row>
    <row r="7" spans="1:11" s="3" customFormat="1" ht="15" x14ac:dyDescent="0.2">
      <c r="A7" s="3" t="s">
        <v>475</v>
      </c>
      <c r="B7" s="3">
        <v>40</v>
      </c>
      <c r="D7" s="3">
        <v>2.12</v>
      </c>
      <c r="E7" s="3">
        <v>1.08</v>
      </c>
      <c r="G7" s="3">
        <v>1.5</v>
      </c>
      <c r="I7" s="3">
        <v>0.24</v>
      </c>
      <c r="J7" s="3">
        <v>0.1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2">
    <tabColor rgb="FF92D050"/>
  </sheetPr>
  <dimension ref="A1:K33"/>
  <sheetViews>
    <sheetView zoomScale="80" zoomScaleNormal="80" zoomScalePageLayoutView="80" workbookViewId="0">
      <selection activeCell="A4" sqref="A4:A33"/>
    </sheetView>
  </sheetViews>
  <sheetFormatPr defaultColWidth="8.85546875" defaultRowHeight="15" x14ac:dyDescent="0.2"/>
  <cols>
    <col min="1" max="1" width="35.140625" style="3" bestFit="1" customWidth="1"/>
    <col min="2" max="2" width="29.140625" style="3" bestFit="1" customWidth="1"/>
    <col min="3" max="3" width="14.28515625" style="3" bestFit="1" customWidth="1"/>
    <col min="4" max="4" width="17" style="3" bestFit="1" customWidth="1"/>
    <col min="5" max="5" width="13.42578125" style="3" bestFit="1" customWidth="1"/>
    <col min="6" max="6" width="12.85546875" style="3" bestFit="1" customWidth="1"/>
    <col min="7" max="7" width="13.42578125" style="3" bestFit="1" customWidth="1"/>
    <col min="8" max="8" width="25" style="3" bestFit="1" customWidth="1"/>
    <col min="9" max="9" width="18.140625" style="3" bestFit="1" customWidth="1"/>
    <col min="10" max="10" width="27.28515625" style="3" bestFit="1" customWidth="1"/>
    <col min="11" max="11" width="31.28515625" style="3" bestFit="1" customWidth="1"/>
    <col min="12" max="16384" width="8.85546875" style="3"/>
  </cols>
  <sheetData>
    <row r="1" spans="1:1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19</v>
      </c>
      <c r="I1" s="2" t="s">
        <v>20</v>
      </c>
      <c r="J1" s="2" t="s">
        <v>7</v>
      </c>
      <c r="K1" s="2" t="s">
        <v>8</v>
      </c>
    </row>
    <row r="2" spans="1:11" x14ac:dyDescent="0.2">
      <c r="A2" s="4" t="s">
        <v>140</v>
      </c>
      <c r="B2" s="4">
        <v>719</v>
      </c>
      <c r="C2" s="4">
        <v>3848</v>
      </c>
      <c r="D2" s="4">
        <v>32.78</v>
      </c>
      <c r="E2" s="4">
        <v>32.049999999999997</v>
      </c>
      <c r="F2" s="4">
        <v>8.9</v>
      </c>
      <c r="G2" s="4">
        <v>41200</v>
      </c>
      <c r="H2" s="4"/>
      <c r="I2" s="4">
        <v>147.19999999999999</v>
      </c>
      <c r="J2" s="4"/>
      <c r="K2" s="4">
        <v>90</v>
      </c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141</v>
      </c>
      <c r="B4" s="4">
        <v>365</v>
      </c>
      <c r="C4" s="4">
        <v>2426</v>
      </c>
      <c r="D4" s="4">
        <v>26.83</v>
      </c>
      <c r="E4" s="4">
        <v>19.82</v>
      </c>
      <c r="F4" s="4">
        <v>8.98</v>
      </c>
      <c r="G4" s="4">
        <v>19890</v>
      </c>
      <c r="H4" s="4"/>
      <c r="J4" s="4">
        <v>3550</v>
      </c>
      <c r="K4" s="4">
        <v>22.4</v>
      </c>
    </row>
    <row r="5" spans="1:11" x14ac:dyDescent="0.2">
      <c r="A5" s="4" t="s">
        <v>142</v>
      </c>
      <c r="B5" s="4">
        <v>482</v>
      </c>
      <c r="C5" s="4">
        <v>4000</v>
      </c>
      <c r="D5" s="4">
        <v>15</v>
      </c>
      <c r="E5" s="4">
        <v>10.8</v>
      </c>
      <c r="F5" s="4">
        <v>3.6</v>
      </c>
      <c r="G5" s="4">
        <v>2720</v>
      </c>
      <c r="H5" s="4">
        <v>4875</v>
      </c>
      <c r="J5" s="4">
        <v>390</v>
      </c>
      <c r="K5" s="4">
        <v>1</v>
      </c>
    </row>
    <row r="6" spans="1:11" x14ac:dyDescent="0.2">
      <c r="A6" s="4" t="s">
        <v>143</v>
      </c>
      <c r="B6" s="4">
        <v>250</v>
      </c>
      <c r="C6" s="4"/>
      <c r="D6" s="4">
        <v>14.63</v>
      </c>
      <c r="E6" s="4">
        <v>10.49</v>
      </c>
      <c r="F6" s="4">
        <v>3.2</v>
      </c>
      <c r="G6" s="4">
        <v>2722</v>
      </c>
      <c r="H6" s="4"/>
      <c r="J6" s="4">
        <v>448</v>
      </c>
    </row>
    <row r="7" spans="1:11" x14ac:dyDescent="0.2">
      <c r="A7" s="4" t="s">
        <v>144</v>
      </c>
      <c r="B7" s="4">
        <v>220</v>
      </c>
      <c r="C7" s="4">
        <v>1500</v>
      </c>
      <c r="D7" s="4">
        <v>14</v>
      </c>
      <c r="E7" s="4">
        <v>8.9</v>
      </c>
      <c r="F7" s="4">
        <v>2.6</v>
      </c>
      <c r="G7" s="4">
        <v>1400</v>
      </c>
      <c r="H7" s="4"/>
      <c r="J7" s="4">
        <v>180</v>
      </c>
    </row>
    <row r="8" spans="1:11" x14ac:dyDescent="0.2">
      <c r="A8" s="4" t="s">
        <v>145</v>
      </c>
      <c r="B8" s="4">
        <v>389</v>
      </c>
      <c r="C8" s="4">
        <v>2333</v>
      </c>
      <c r="D8" s="4">
        <v>11.38</v>
      </c>
      <c r="E8" s="4">
        <v>8.5299999999999994</v>
      </c>
      <c r="F8" s="4">
        <v>2.97</v>
      </c>
      <c r="G8" s="4">
        <v>1565</v>
      </c>
      <c r="H8" s="4">
        <v>7925</v>
      </c>
      <c r="J8" s="4">
        <v>89</v>
      </c>
    </row>
    <row r="9" spans="1:11" x14ac:dyDescent="0.2">
      <c r="A9" s="4" t="s">
        <v>146</v>
      </c>
      <c r="B9" s="4">
        <v>200</v>
      </c>
      <c r="C9" s="4">
        <v>1200</v>
      </c>
      <c r="D9" s="4">
        <v>11</v>
      </c>
      <c r="E9" s="4">
        <v>6.9</v>
      </c>
      <c r="F9" s="4">
        <v>2.5</v>
      </c>
      <c r="G9" s="4">
        <v>1053</v>
      </c>
      <c r="H9" s="4"/>
      <c r="J9" s="4">
        <v>147</v>
      </c>
    </row>
    <row r="10" spans="1:11" x14ac:dyDescent="0.2">
      <c r="A10" s="4" t="s">
        <v>147</v>
      </c>
      <c r="B10" s="4">
        <v>210</v>
      </c>
      <c r="C10" s="4">
        <v>1800</v>
      </c>
      <c r="D10" s="4">
        <v>12.5</v>
      </c>
      <c r="E10" s="4">
        <v>7.9</v>
      </c>
      <c r="F10" s="4">
        <v>2.8</v>
      </c>
      <c r="G10" s="4">
        <v>1450</v>
      </c>
      <c r="H10" s="4">
        <v>4000</v>
      </c>
      <c r="J10" s="4">
        <v>147</v>
      </c>
    </row>
    <row r="11" spans="1:11" x14ac:dyDescent="0.2">
      <c r="A11" s="4" t="s">
        <v>148</v>
      </c>
      <c r="B11" s="4">
        <v>150</v>
      </c>
      <c r="C11" s="4">
        <v>429</v>
      </c>
      <c r="D11" s="4">
        <v>10.53</v>
      </c>
      <c r="E11" s="4">
        <v>7.25</v>
      </c>
      <c r="F11" s="4">
        <v>2.4</v>
      </c>
      <c r="G11" s="4">
        <v>675</v>
      </c>
      <c r="H11" s="4">
        <v>3000</v>
      </c>
      <c r="J11" s="4">
        <v>95.6</v>
      </c>
    </row>
    <row r="12" spans="1:11" x14ac:dyDescent="0.2">
      <c r="A12" s="4" t="s">
        <v>149</v>
      </c>
      <c r="B12" s="4">
        <v>178</v>
      </c>
      <c r="C12" s="4">
        <v>724</v>
      </c>
      <c r="D12" s="4">
        <v>10.16</v>
      </c>
      <c r="E12" s="4">
        <v>7.63</v>
      </c>
      <c r="F12" s="4">
        <v>2.61</v>
      </c>
      <c r="G12" s="4">
        <v>650</v>
      </c>
      <c r="H12" s="4"/>
      <c r="J12" s="4">
        <v>73.5</v>
      </c>
    </row>
    <row r="13" spans="1:11" x14ac:dyDescent="0.2">
      <c r="A13" s="4" t="s">
        <v>150</v>
      </c>
      <c r="B13" s="4">
        <v>191</v>
      </c>
      <c r="C13" s="4">
        <v>998</v>
      </c>
      <c r="D13" s="4">
        <v>12.4</v>
      </c>
      <c r="E13" s="4">
        <v>5.85</v>
      </c>
      <c r="F13" s="4">
        <v>2.2799999999999998</v>
      </c>
      <c r="G13" s="4">
        <v>650</v>
      </c>
      <c r="H13" s="4"/>
      <c r="J13" s="4">
        <v>73.5</v>
      </c>
    </row>
    <row r="14" spans="1:11" x14ac:dyDescent="0.2">
      <c r="A14" s="4" t="s">
        <v>151</v>
      </c>
      <c r="B14" s="4">
        <v>209</v>
      </c>
      <c r="C14" s="4"/>
      <c r="D14" s="4">
        <v>10.08</v>
      </c>
      <c r="E14" s="4">
        <v>6.05</v>
      </c>
      <c r="F14" s="4">
        <v>2</v>
      </c>
      <c r="G14" s="4">
        <v>600</v>
      </c>
      <c r="H14" s="4"/>
      <c r="J14" s="4">
        <v>73.5</v>
      </c>
    </row>
    <row r="15" spans="1:11" x14ac:dyDescent="0.2">
      <c r="A15" s="4" t="s">
        <v>152</v>
      </c>
      <c r="B15" s="4">
        <v>241</v>
      </c>
      <c r="C15" s="4">
        <v>1000</v>
      </c>
      <c r="D15" s="4">
        <v>10.9</v>
      </c>
      <c r="E15" s="4">
        <v>6.9</v>
      </c>
      <c r="F15" s="4">
        <v>2.2999999999999998</v>
      </c>
      <c r="G15" s="4">
        <v>495</v>
      </c>
      <c r="H15" s="4"/>
      <c r="J15" s="4">
        <v>73.5</v>
      </c>
    </row>
    <row r="16" spans="1:11" x14ac:dyDescent="0.2">
      <c r="A16" s="4" t="s">
        <v>153</v>
      </c>
      <c r="B16" s="4">
        <v>150</v>
      </c>
      <c r="C16" s="4">
        <v>600</v>
      </c>
      <c r="D16" s="4">
        <v>10.199999999999999</v>
      </c>
      <c r="E16" s="4"/>
      <c r="F16" s="4"/>
      <c r="G16" s="4">
        <v>490</v>
      </c>
      <c r="H16" s="4">
        <v>3000</v>
      </c>
      <c r="J16" s="4">
        <v>59.6</v>
      </c>
    </row>
    <row r="17" spans="1:11" x14ac:dyDescent="0.2">
      <c r="A17" s="3" t="s">
        <v>366</v>
      </c>
      <c r="B17" s="6">
        <v>258</v>
      </c>
      <c r="C17" s="6">
        <v>1300</v>
      </c>
      <c r="D17" s="3">
        <v>12.47</v>
      </c>
      <c r="E17" s="3">
        <v>8.99</v>
      </c>
      <c r="F17" s="3">
        <v>3.38</v>
      </c>
      <c r="G17" s="3">
        <v>1680</v>
      </c>
      <c r="H17" s="3">
        <v>4500</v>
      </c>
      <c r="J17" s="3">
        <v>231</v>
      </c>
    </row>
    <row r="18" spans="1:11" x14ac:dyDescent="0.2">
      <c r="A18" s="3" t="s">
        <v>367</v>
      </c>
      <c r="B18" s="3">
        <v>264</v>
      </c>
      <c r="C18" s="3">
        <v>2000</v>
      </c>
      <c r="D18" s="3">
        <v>9</v>
      </c>
      <c r="E18" s="3">
        <v>6.45</v>
      </c>
      <c r="F18" s="3">
        <v>2.35</v>
      </c>
      <c r="G18" s="3">
        <v>495</v>
      </c>
      <c r="J18" s="3">
        <v>73.5</v>
      </c>
    </row>
    <row r="19" spans="1:11" x14ac:dyDescent="0.2">
      <c r="A19" s="3" t="s">
        <v>368</v>
      </c>
      <c r="B19" s="3">
        <v>200</v>
      </c>
      <c r="C19" s="3">
        <v>1100</v>
      </c>
      <c r="D19" s="3">
        <v>9.48</v>
      </c>
      <c r="E19" s="3">
        <v>8.1999999999999993</v>
      </c>
      <c r="F19" s="3">
        <v>2.9</v>
      </c>
      <c r="G19" s="3">
        <v>600</v>
      </c>
      <c r="J19" s="3">
        <v>73.5</v>
      </c>
    </row>
    <row r="20" spans="1:11" x14ac:dyDescent="0.2">
      <c r="A20" s="3" t="s">
        <v>369</v>
      </c>
      <c r="B20" s="3">
        <v>170</v>
      </c>
      <c r="C20" s="3">
        <v>950</v>
      </c>
      <c r="D20" s="3">
        <v>8.9</v>
      </c>
      <c r="E20" s="3">
        <v>5.97</v>
      </c>
      <c r="F20" s="3">
        <v>2.2599999999999998</v>
      </c>
      <c r="G20" s="3">
        <v>550</v>
      </c>
      <c r="H20" s="3">
        <v>3050</v>
      </c>
      <c r="J20" s="3">
        <v>73.5</v>
      </c>
    </row>
    <row r="21" spans="1:11" x14ac:dyDescent="0.2">
      <c r="A21" s="3" t="s">
        <v>370</v>
      </c>
      <c r="B21" s="3">
        <v>150</v>
      </c>
      <c r="D21" s="3">
        <v>9.4700000000000006</v>
      </c>
      <c r="E21" s="3">
        <v>6.28</v>
      </c>
      <c r="F21" s="3">
        <v>2.4900000000000002</v>
      </c>
      <c r="G21" s="3">
        <v>495</v>
      </c>
      <c r="J21" s="3">
        <v>47.8</v>
      </c>
    </row>
    <row r="22" spans="1:11" x14ac:dyDescent="0.2">
      <c r="A22" s="3" t="s">
        <v>371</v>
      </c>
      <c r="B22" s="3">
        <v>583</v>
      </c>
      <c r="C22" s="3">
        <v>4500</v>
      </c>
      <c r="D22" s="3">
        <v>33.15</v>
      </c>
      <c r="E22" s="3">
        <v>33.25</v>
      </c>
      <c r="F22" s="3">
        <v>9.8000000000000007</v>
      </c>
      <c r="G22" s="3">
        <v>43000</v>
      </c>
      <c r="J22" s="3">
        <f>4*3423</f>
        <v>13692</v>
      </c>
      <c r="K22" s="3">
        <f>3*40*0.75</f>
        <v>90</v>
      </c>
    </row>
    <row r="23" spans="1:11" x14ac:dyDescent="0.2">
      <c r="A23" s="3" t="s">
        <v>372</v>
      </c>
      <c r="B23" s="3">
        <v>407</v>
      </c>
      <c r="C23" s="3">
        <v>1564</v>
      </c>
      <c r="D23" s="3">
        <v>9.6</v>
      </c>
      <c r="E23" s="3">
        <v>6.34</v>
      </c>
      <c r="F23" s="3">
        <v>2.7</v>
      </c>
      <c r="G23" s="3">
        <v>750</v>
      </c>
      <c r="H23" s="3">
        <v>4115</v>
      </c>
      <c r="J23" s="3">
        <v>100</v>
      </c>
    </row>
    <row r="24" spans="1:11" x14ac:dyDescent="0.2">
      <c r="A24" s="3" t="s">
        <v>373</v>
      </c>
      <c r="B24" s="3">
        <v>300</v>
      </c>
      <c r="C24" s="3">
        <v>3704</v>
      </c>
      <c r="D24" s="3">
        <v>14.2</v>
      </c>
      <c r="E24" s="3">
        <v>9.41</v>
      </c>
      <c r="F24" s="3">
        <v>2.5499999999999998</v>
      </c>
      <c r="G24" s="3">
        <v>1800</v>
      </c>
      <c r="H24" s="3">
        <v>5000</v>
      </c>
      <c r="J24" s="3">
        <f>2*134</f>
        <v>268</v>
      </c>
    </row>
    <row r="25" spans="1:11" x14ac:dyDescent="0.2">
      <c r="A25" s="3" t="s">
        <v>374</v>
      </c>
      <c r="B25" s="3">
        <v>220</v>
      </c>
      <c r="C25" s="3">
        <v>1598</v>
      </c>
      <c r="D25" s="3">
        <v>13.5</v>
      </c>
      <c r="F25" s="3">
        <v>2.52</v>
      </c>
      <c r="G25" s="3">
        <v>1460</v>
      </c>
      <c r="H25" s="3">
        <v>4000</v>
      </c>
      <c r="J25" s="3">
        <f>2*73.5</f>
        <v>147</v>
      </c>
    </row>
    <row r="26" spans="1:11" x14ac:dyDescent="0.2">
      <c r="A26" s="3" t="s">
        <v>375</v>
      </c>
      <c r="B26" s="3">
        <v>170</v>
      </c>
      <c r="C26" s="3">
        <v>900</v>
      </c>
      <c r="D26" s="3">
        <v>11.22</v>
      </c>
      <c r="E26" s="3">
        <v>7.04</v>
      </c>
      <c r="F26" s="3">
        <v>2.7</v>
      </c>
      <c r="G26" s="3">
        <v>750</v>
      </c>
      <c r="H26" s="3">
        <v>3000</v>
      </c>
      <c r="J26" s="3">
        <v>73.5</v>
      </c>
    </row>
    <row r="27" spans="1:11" x14ac:dyDescent="0.2">
      <c r="A27" s="3" t="s">
        <v>376</v>
      </c>
      <c r="B27" s="3">
        <v>222</v>
      </c>
      <c r="C27" s="3">
        <v>3537</v>
      </c>
      <c r="D27" s="3">
        <v>13.05</v>
      </c>
      <c r="E27" s="3">
        <v>8.75</v>
      </c>
      <c r="F27" s="3">
        <v>3.3</v>
      </c>
      <c r="G27" s="3">
        <v>1700</v>
      </c>
      <c r="J27" s="3">
        <v>239</v>
      </c>
    </row>
    <row r="28" spans="1:11" x14ac:dyDescent="0.2">
      <c r="A28" s="3" t="s">
        <v>377</v>
      </c>
      <c r="B28" s="4">
        <v>191</v>
      </c>
      <c r="C28" s="4">
        <v>998</v>
      </c>
      <c r="D28" s="4">
        <v>12.4</v>
      </c>
      <c r="E28" s="4">
        <v>5.85</v>
      </c>
      <c r="F28" s="4">
        <v>2.2799999999999998</v>
      </c>
      <c r="G28" s="4">
        <v>650</v>
      </c>
      <c r="H28" s="4"/>
      <c r="J28" s="4">
        <v>73.5</v>
      </c>
    </row>
    <row r="29" spans="1:11" x14ac:dyDescent="0.2">
      <c r="A29" s="3" t="s">
        <v>378</v>
      </c>
      <c r="B29" s="3">
        <v>222</v>
      </c>
      <c r="C29" s="3">
        <v>1198</v>
      </c>
      <c r="D29" s="3">
        <v>10.83</v>
      </c>
      <c r="E29" s="3">
        <v>6.72</v>
      </c>
      <c r="F29" s="3">
        <v>2.15</v>
      </c>
      <c r="G29" s="3">
        <v>600</v>
      </c>
      <c r="J29" s="3">
        <v>84.5</v>
      </c>
      <c r="K29" s="3">
        <f>12*250/1000</f>
        <v>3</v>
      </c>
    </row>
    <row r="30" spans="1:11" x14ac:dyDescent="0.2">
      <c r="A30" s="3" t="s">
        <v>379</v>
      </c>
      <c r="B30" s="3">
        <v>361</v>
      </c>
      <c r="D30" s="3">
        <v>13.03</v>
      </c>
      <c r="E30" s="3">
        <v>13.11</v>
      </c>
      <c r="F30" s="3">
        <v>3.73</v>
      </c>
      <c r="G30" s="3">
        <v>2540</v>
      </c>
      <c r="H30" s="3">
        <v>7620</v>
      </c>
      <c r="J30" s="3">
        <v>540</v>
      </c>
    </row>
    <row r="31" spans="1:11" x14ac:dyDescent="0.2">
      <c r="A31" s="3" t="s">
        <v>380</v>
      </c>
      <c r="B31" s="3">
        <v>194</v>
      </c>
      <c r="C31" s="3">
        <v>555</v>
      </c>
      <c r="D31" s="3">
        <v>10.36</v>
      </c>
      <c r="E31" s="3">
        <v>6.71</v>
      </c>
      <c r="F31" s="3">
        <v>2.16</v>
      </c>
      <c r="G31" s="3">
        <v>649</v>
      </c>
      <c r="J31" s="3">
        <v>73.5</v>
      </c>
    </row>
    <row r="32" spans="1:11" x14ac:dyDescent="0.2">
      <c r="A32" s="3" t="s">
        <v>381</v>
      </c>
      <c r="B32" s="3">
        <v>185</v>
      </c>
      <c r="C32" s="3">
        <v>609</v>
      </c>
      <c r="D32" s="3">
        <v>9.14</v>
      </c>
      <c r="E32" s="3">
        <v>6.81</v>
      </c>
      <c r="F32" s="3">
        <v>1.93</v>
      </c>
      <c r="G32" s="3">
        <v>649</v>
      </c>
      <c r="H32" s="3">
        <v>5485</v>
      </c>
      <c r="J32" s="3">
        <v>73.5</v>
      </c>
      <c r="K32" s="3">
        <f>12*18/1000</f>
        <v>0.216</v>
      </c>
    </row>
    <row r="33" spans="1:11" x14ac:dyDescent="0.2">
      <c r="A33" s="3" t="s">
        <v>382</v>
      </c>
      <c r="B33" s="3">
        <v>320</v>
      </c>
      <c r="C33" s="3">
        <v>1700</v>
      </c>
      <c r="D33" s="3">
        <v>10.67</v>
      </c>
      <c r="E33" s="3">
        <v>8.2799999999999994</v>
      </c>
      <c r="F33" s="3">
        <v>3.1</v>
      </c>
      <c r="G33" s="3">
        <v>1542</v>
      </c>
      <c r="H33" s="3">
        <v>5485</v>
      </c>
      <c r="J33" s="3">
        <v>231</v>
      </c>
      <c r="K33" s="3">
        <f>28*60/1000</f>
        <v>1.68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4">
    <tabColor rgb="FF92D050"/>
  </sheetPr>
  <dimension ref="A1:K184"/>
  <sheetViews>
    <sheetView zoomScale="80" zoomScaleNormal="80" zoomScalePageLayoutView="80" workbookViewId="0">
      <pane ySplit="1" topLeftCell="A2" activePane="bottomLeft" state="frozen"/>
      <selection pane="bottomLeft" activeCell="C203" sqref="C203"/>
    </sheetView>
  </sheetViews>
  <sheetFormatPr defaultColWidth="8.85546875" defaultRowHeight="15" x14ac:dyDescent="0.2"/>
  <cols>
    <col min="1" max="1" width="51.7109375" style="3" bestFit="1" customWidth="1"/>
    <col min="2" max="2" width="29.140625" style="3" bestFit="1" customWidth="1"/>
    <col min="3" max="3" width="14.28515625" style="3" bestFit="1" customWidth="1"/>
    <col min="4" max="4" width="17" style="3" bestFit="1" customWidth="1"/>
    <col min="5" max="5" width="13.42578125" style="3" bestFit="1" customWidth="1"/>
    <col min="6" max="6" width="12.85546875" style="3" bestFit="1" customWidth="1"/>
    <col min="7" max="7" width="13.42578125" style="3" bestFit="1" customWidth="1"/>
    <col min="8" max="8" width="25" style="3" bestFit="1" customWidth="1"/>
    <col min="9" max="9" width="18.140625" style="3" bestFit="1" customWidth="1"/>
    <col min="10" max="10" width="27.28515625" style="3" bestFit="1" customWidth="1"/>
    <col min="11" max="11" width="31.28515625" style="3" bestFit="1" customWidth="1"/>
    <col min="12" max="16384" width="8.85546875" style="3"/>
  </cols>
  <sheetData>
    <row r="1" spans="1:1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19</v>
      </c>
      <c r="I1" s="2" t="s">
        <v>20</v>
      </c>
      <c r="J1" s="2" t="s">
        <v>7</v>
      </c>
      <c r="K1" s="2" t="s">
        <v>8</v>
      </c>
    </row>
    <row r="2" spans="1:11" x14ac:dyDescent="0.2">
      <c r="A2" s="4" t="s">
        <v>154</v>
      </c>
      <c r="B2" s="4">
        <v>454</v>
      </c>
      <c r="C2" s="4">
        <v>2655</v>
      </c>
      <c r="D2" s="4"/>
      <c r="E2" s="4"/>
      <c r="F2" s="4"/>
      <c r="G2" s="4">
        <v>1550</v>
      </c>
      <c r="H2" s="4">
        <v>7620</v>
      </c>
      <c r="J2" s="4">
        <v>261</v>
      </c>
    </row>
    <row r="3" spans="1:11" x14ac:dyDescent="0.2">
      <c r="A3" s="4" t="s">
        <v>155</v>
      </c>
      <c r="B3" s="4">
        <v>278</v>
      </c>
      <c r="C3" s="4">
        <v>1431</v>
      </c>
      <c r="D3" s="4">
        <v>10.97</v>
      </c>
      <c r="E3" s="4">
        <v>8.84</v>
      </c>
      <c r="F3" s="4">
        <v>2.84</v>
      </c>
      <c r="G3" s="4">
        <v>1406</v>
      </c>
      <c r="H3" s="4">
        <v>5515</v>
      </c>
      <c r="J3" s="4">
        <v>172</v>
      </c>
      <c r="K3" s="3">
        <v>2.66</v>
      </c>
    </row>
    <row r="4" spans="1:11" x14ac:dyDescent="0.2">
      <c r="A4" s="4" t="s">
        <v>156</v>
      </c>
      <c r="B4" s="4">
        <v>272</v>
      </c>
      <c r="C4" s="4">
        <v>1333</v>
      </c>
      <c r="D4" s="4">
        <v>12.04</v>
      </c>
      <c r="E4" s="4"/>
      <c r="F4" s="4"/>
      <c r="G4" s="4">
        <v>1200</v>
      </c>
      <c r="H4" s="4">
        <v>5000</v>
      </c>
      <c r="J4" s="4">
        <v>134</v>
      </c>
      <c r="K4" s="3">
        <v>1.96</v>
      </c>
    </row>
    <row r="5" spans="1:11" x14ac:dyDescent="0.2">
      <c r="A5" s="4" t="s">
        <v>157</v>
      </c>
      <c r="B5" s="4">
        <v>287</v>
      </c>
      <c r="C5" s="4">
        <v>2222</v>
      </c>
      <c r="D5" s="4">
        <v>9.93</v>
      </c>
      <c r="E5" s="4">
        <v>7.88</v>
      </c>
      <c r="F5" s="4">
        <v>2.61</v>
      </c>
      <c r="G5" s="4">
        <v>1200</v>
      </c>
      <c r="H5" s="4"/>
      <c r="J5" s="4">
        <v>134</v>
      </c>
    </row>
    <row r="6" spans="1:11" x14ac:dyDescent="0.2">
      <c r="A6" s="4" t="s">
        <v>396</v>
      </c>
      <c r="B6" s="4">
        <v>270</v>
      </c>
      <c r="C6" s="4">
        <v>914</v>
      </c>
      <c r="D6" s="4">
        <v>8.7200000000000006</v>
      </c>
      <c r="E6" s="4">
        <v>6.96</v>
      </c>
      <c r="F6" s="4">
        <v>2.23</v>
      </c>
      <c r="G6" s="4">
        <v>1050</v>
      </c>
      <c r="H6" s="4">
        <v>4265</v>
      </c>
      <c r="J6" s="4">
        <v>119</v>
      </c>
      <c r="K6" s="3">
        <v>0.6</v>
      </c>
    </row>
    <row r="7" spans="1:11" x14ac:dyDescent="0.2">
      <c r="A7" s="4" t="s">
        <v>158</v>
      </c>
      <c r="B7" s="4">
        <v>210</v>
      </c>
      <c r="C7" s="4">
        <v>900</v>
      </c>
      <c r="D7" s="4">
        <v>9.6999999999999993</v>
      </c>
      <c r="E7" s="4">
        <v>6.85</v>
      </c>
      <c r="F7" s="4">
        <v>2.2000000000000002</v>
      </c>
      <c r="G7" s="4">
        <v>560</v>
      </c>
      <c r="H7" s="4"/>
      <c r="J7" s="4">
        <v>89</v>
      </c>
    </row>
    <row r="8" spans="1:11" x14ac:dyDescent="0.2">
      <c r="A8" s="4" t="s">
        <v>159</v>
      </c>
      <c r="B8" s="4">
        <v>217</v>
      </c>
      <c r="C8" s="4">
        <v>529</v>
      </c>
      <c r="D8" s="4">
        <v>9.14</v>
      </c>
      <c r="E8" s="4">
        <v>7.26</v>
      </c>
      <c r="F8" s="4">
        <v>2.59</v>
      </c>
      <c r="G8" s="4">
        <v>1338</v>
      </c>
      <c r="H8" s="4"/>
      <c r="J8" s="4">
        <v>205</v>
      </c>
    </row>
    <row r="9" spans="1:11" x14ac:dyDescent="0.2">
      <c r="A9" s="4" t="s">
        <v>160</v>
      </c>
      <c r="B9" s="4">
        <v>357</v>
      </c>
      <c r="C9" s="4">
        <v>944</v>
      </c>
      <c r="D9" s="4">
        <v>10.039999999999999</v>
      </c>
      <c r="E9" s="4">
        <v>8.44</v>
      </c>
      <c r="F9" s="4">
        <v>2.96</v>
      </c>
      <c r="G9" s="4">
        <v>1585</v>
      </c>
      <c r="H9" s="4">
        <v>7620</v>
      </c>
      <c r="J9" s="4">
        <v>261</v>
      </c>
      <c r="K9" s="3">
        <v>4.5</v>
      </c>
    </row>
    <row r="10" spans="1:11" x14ac:dyDescent="0.2">
      <c r="A10" s="4" t="s">
        <v>161</v>
      </c>
      <c r="B10" s="4">
        <v>185</v>
      </c>
      <c r="C10" s="4">
        <v>907</v>
      </c>
      <c r="D10" s="4">
        <v>8.33</v>
      </c>
      <c r="E10" s="4">
        <v>7.1</v>
      </c>
      <c r="F10" s="4">
        <v>2.13</v>
      </c>
      <c r="G10" s="4">
        <v>800</v>
      </c>
      <c r="H10" s="4"/>
      <c r="J10" s="4">
        <v>88</v>
      </c>
    </row>
    <row r="11" spans="1:11" x14ac:dyDescent="0.2">
      <c r="A11" s="4" t="s">
        <v>162</v>
      </c>
      <c r="B11" s="4">
        <v>278</v>
      </c>
      <c r="C11" s="4">
        <v>833</v>
      </c>
      <c r="D11" s="4">
        <v>7.5</v>
      </c>
      <c r="E11" s="4">
        <v>6.51</v>
      </c>
      <c r="F11" s="4">
        <v>2.62</v>
      </c>
      <c r="G11" s="4">
        <v>700</v>
      </c>
      <c r="H11" s="4">
        <v>4570</v>
      </c>
      <c r="J11" s="4">
        <v>149</v>
      </c>
      <c r="K11" s="3">
        <v>0.48</v>
      </c>
    </row>
    <row r="12" spans="1:11" x14ac:dyDescent="0.2">
      <c r="A12" s="4" t="s">
        <v>163</v>
      </c>
      <c r="B12" s="4">
        <v>389</v>
      </c>
      <c r="C12" s="4">
        <v>1203</v>
      </c>
      <c r="D12" s="4">
        <v>7.32</v>
      </c>
      <c r="E12" s="4">
        <v>6.55</v>
      </c>
      <c r="F12" s="4">
        <v>1.83</v>
      </c>
      <c r="G12" s="4">
        <v>975</v>
      </c>
      <c r="H12" s="4"/>
      <c r="J12" s="4">
        <v>194</v>
      </c>
    </row>
    <row r="13" spans="1:11" x14ac:dyDescent="0.2">
      <c r="A13" s="4" t="s">
        <v>164</v>
      </c>
      <c r="B13" s="4">
        <v>250</v>
      </c>
      <c r="C13" s="4">
        <v>796</v>
      </c>
      <c r="D13" s="4">
        <v>10</v>
      </c>
      <c r="E13" s="4">
        <v>7.54</v>
      </c>
      <c r="F13" s="4">
        <v>2.4</v>
      </c>
      <c r="G13" s="4">
        <v>990</v>
      </c>
      <c r="H13" s="4">
        <v>6095</v>
      </c>
      <c r="J13" s="4">
        <v>134</v>
      </c>
      <c r="K13" s="3">
        <v>0.98</v>
      </c>
    </row>
    <row r="14" spans="1:11" x14ac:dyDescent="0.2">
      <c r="A14" s="4" t="s">
        <v>165</v>
      </c>
      <c r="B14" s="4">
        <v>250</v>
      </c>
      <c r="C14" s="4"/>
      <c r="D14" s="4">
        <v>8.84</v>
      </c>
      <c r="E14" s="4">
        <v>6.9</v>
      </c>
      <c r="F14" s="4">
        <v>2.02</v>
      </c>
      <c r="G14" s="4">
        <v>645</v>
      </c>
      <c r="H14" s="4"/>
      <c r="J14" s="4">
        <v>73.5</v>
      </c>
    </row>
    <row r="15" spans="1:11" x14ac:dyDescent="0.2">
      <c r="A15" s="4" t="s">
        <v>166</v>
      </c>
      <c r="B15" s="4">
        <v>209</v>
      </c>
      <c r="C15" s="4">
        <v>666</v>
      </c>
      <c r="D15" s="4">
        <v>11.02</v>
      </c>
      <c r="E15" s="4">
        <v>7.01</v>
      </c>
      <c r="F15" s="4">
        <v>2.96</v>
      </c>
      <c r="G15" s="4">
        <v>975</v>
      </c>
      <c r="H15" s="4">
        <v>5180</v>
      </c>
      <c r="J15" s="4">
        <v>134</v>
      </c>
      <c r="K15" s="3">
        <v>0.72</v>
      </c>
    </row>
    <row r="16" spans="1:11" x14ac:dyDescent="0.2">
      <c r="A16" s="4" t="s">
        <v>167</v>
      </c>
      <c r="B16" s="4">
        <v>209</v>
      </c>
      <c r="C16" s="4">
        <v>800</v>
      </c>
      <c r="D16" s="4">
        <v>8.0299999999999994</v>
      </c>
      <c r="E16" s="4">
        <v>6.4</v>
      </c>
      <c r="F16" s="4">
        <v>2.15</v>
      </c>
      <c r="G16" s="4">
        <v>600</v>
      </c>
      <c r="H16" s="4"/>
      <c r="J16" s="4">
        <v>59.6</v>
      </c>
    </row>
    <row r="17" spans="1:11" x14ac:dyDescent="0.2">
      <c r="A17" s="4" t="s">
        <v>168</v>
      </c>
      <c r="B17" s="4">
        <v>219</v>
      </c>
      <c r="C17" s="4">
        <v>722</v>
      </c>
      <c r="D17" s="4">
        <v>9.27</v>
      </c>
      <c r="E17" s="4">
        <v>6.73</v>
      </c>
      <c r="F17" s="4">
        <v>2.2400000000000002</v>
      </c>
      <c r="G17" s="4">
        <v>599</v>
      </c>
      <c r="H17" s="4">
        <v>4460</v>
      </c>
      <c r="J17" s="4">
        <v>74.599999999999994</v>
      </c>
      <c r="K17" s="3">
        <v>0.56000000000000005</v>
      </c>
    </row>
    <row r="18" spans="1:11" x14ac:dyDescent="0.2">
      <c r="A18" s="4" t="s">
        <v>169</v>
      </c>
      <c r="B18" s="4">
        <v>209</v>
      </c>
      <c r="C18" s="4">
        <v>800</v>
      </c>
      <c r="D18" s="4">
        <v>8.1999999999999993</v>
      </c>
      <c r="E18" s="4">
        <v>6.75</v>
      </c>
      <c r="F18" s="4">
        <v>2.15</v>
      </c>
      <c r="G18" s="4">
        <v>595</v>
      </c>
      <c r="H18" s="4"/>
      <c r="J18" s="4">
        <v>73.5</v>
      </c>
    </row>
    <row r="19" spans="1:11" x14ac:dyDescent="0.2">
      <c r="A19" s="4" t="s">
        <v>170</v>
      </c>
      <c r="B19" s="4">
        <v>226</v>
      </c>
      <c r="C19" s="4">
        <v>842</v>
      </c>
      <c r="D19" s="4">
        <v>8.76</v>
      </c>
      <c r="E19" s="4">
        <v>6.19</v>
      </c>
      <c r="F19" s="4">
        <v>2.2599999999999998</v>
      </c>
      <c r="G19" s="4">
        <v>794</v>
      </c>
      <c r="H19" s="4">
        <v>3810</v>
      </c>
      <c r="J19" s="4">
        <v>93</v>
      </c>
      <c r="K19" s="3">
        <v>0.84</v>
      </c>
    </row>
    <row r="20" spans="1:11" x14ac:dyDescent="0.2">
      <c r="A20" s="4" t="s">
        <v>171</v>
      </c>
      <c r="B20" s="4">
        <v>222</v>
      </c>
      <c r="C20" s="4">
        <v>709</v>
      </c>
      <c r="D20" s="4">
        <v>9</v>
      </c>
      <c r="E20" s="4">
        <v>6.15</v>
      </c>
      <c r="F20" s="4"/>
      <c r="G20" s="4">
        <v>598</v>
      </c>
      <c r="H20" s="4">
        <v>3660</v>
      </c>
      <c r="J20" s="4">
        <v>73.5</v>
      </c>
    </row>
    <row r="21" spans="1:11" x14ac:dyDescent="0.2">
      <c r="A21" s="4" t="s">
        <v>172</v>
      </c>
      <c r="B21" s="4">
        <v>209</v>
      </c>
      <c r="C21" s="4">
        <v>1379</v>
      </c>
      <c r="D21" s="4">
        <v>9.32</v>
      </c>
      <c r="E21" s="4">
        <v>6.47</v>
      </c>
      <c r="F21" s="4">
        <v>2.2799999999999998</v>
      </c>
      <c r="G21" s="4">
        <v>472.5</v>
      </c>
      <c r="H21" s="4">
        <v>4570</v>
      </c>
      <c r="J21" s="4">
        <v>73.5</v>
      </c>
    </row>
    <row r="22" spans="1:11" x14ac:dyDescent="0.2">
      <c r="A22" s="4" t="s">
        <v>173</v>
      </c>
      <c r="B22" s="4">
        <v>204</v>
      </c>
      <c r="C22" s="4">
        <v>1150</v>
      </c>
      <c r="D22" s="4">
        <v>8.81</v>
      </c>
      <c r="E22" s="4">
        <v>6.5</v>
      </c>
      <c r="F22" s="4">
        <v>2.37</v>
      </c>
      <c r="G22" s="4">
        <v>600</v>
      </c>
      <c r="H22" s="4">
        <v>3000</v>
      </c>
      <c r="J22" s="4">
        <v>73.5</v>
      </c>
    </row>
    <row r="23" spans="1:11" x14ac:dyDescent="0.2">
      <c r="A23" s="4" t="s">
        <v>174</v>
      </c>
      <c r="B23" s="4">
        <v>261</v>
      </c>
      <c r="C23" s="4"/>
      <c r="D23" s="4">
        <v>16.010000000000002</v>
      </c>
      <c r="E23" s="4">
        <v>7.28</v>
      </c>
      <c r="F23" s="4">
        <v>2.35</v>
      </c>
      <c r="G23" s="4">
        <v>770</v>
      </c>
      <c r="H23" s="4"/>
      <c r="J23" s="4">
        <v>73.5</v>
      </c>
    </row>
    <row r="24" spans="1:11" x14ac:dyDescent="0.2">
      <c r="A24" s="4" t="s">
        <v>175</v>
      </c>
      <c r="B24" s="4">
        <v>220</v>
      </c>
      <c r="C24" s="4">
        <v>1398</v>
      </c>
      <c r="D24" s="4">
        <v>18</v>
      </c>
      <c r="E24" s="4">
        <v>8.52</v>
      </c>
      <c r="F24" s="4">
        <v>2.4500000000000002</v>
      </c>
      <c r="G24" s="4">
        <v>850</v>
      </c>
      <c r="H24" s="4">
        <v>4875</v>
      </c>
      <c r="J24" s="4">
        <v>84.5</v>
      </c>
      <c r="K24" s="3">
        <v>0.45</v>
      </c>
    </row>
    <row r="25" spans="1:11" x14ac:dyDescent="0.2">
      <c r="A25" s="4" t="s">
        <v>176</v>
      </c>
      <c r="B25" s="4">
        <v>283</v>
      </c>
      <c r="C25" s="4">
        <v>455</v>
      </c>
      <c r="D25" s="4">
        <v>6.1</v>
      </c>
      <c r="E25" s="4">
        <v>5.41</v>
      </c>
      <c r="F25" s="4">
        <v>1.96</v>
      </c>
      <c r="G25" s="4">
        <v>771</v>
      </c>
      <c r="H25" s="4"/>
      <c r="J25" s="4">
        <v>194</v>
      </c>
    </row>
    <row r="26" spans="1:11" x14ac:dyDescent="0.2">
      <c r="A26" s="4" t="s">
        <v>177</v>
      </c>
      <c r="B26" s="4">
        <v>389</v>
      </c>
      <c r="C26" s="4">
        <v>1203</v>
      </c>
      <c r="D26" s="4">
        <v>7.32</v>
      </c>
      <c r="E26" s="4">
        <v>6.5</v>
      </c>
      <c r="F26" s="4">
        <v>1.83</v>
      </c>
      <c r="G26" s="4">
        <v>835</v>
      </c>
      <c r="H26" s="4"/>
      <c r="J26" s="4">
        <v>194</v>
      </c>
    </row>
    <row r="27" spans="1:11" x14ac:dyDescent="0.2">
      <c r="A27" s="4" t="s">
        <v>178</v>
      </c>
      <c r="B27" s="4">
        <v>263</v>
      </c>
      <c r="C27" s="4"/>
      <c r="D27" s="4">
        <v>8.7200000000000006</v>
      </c>
      <c r="E27" s="4">
        <v>6.35</v>
      </c>
      <c r="F27" s="4">
        <v>1.95</v>
      </c>
      <c r="G27" s="4">
        <v>750</v>
      </c>
      <c r="H27" s="4"/>
      <c r="J27" s="4">
        <v>134</v>
      </c>
    </row>
    <row r="28" spans="1:11" x14ac:dyDescent="0.2">
      <c r="A28" s="3" t="s">
        <v>383</v>
      </c>
      <c r="B28" s="3">
        <v>343</v>
      </c>
      <c r="C28" s="3">
        <v>2037</v>
      </c>
      <c r="D28" s="3">
        <v>9.3000000000000007</v>
      </c>
      <c r="E28" s="3">
        <v>8.6999999999999993</v>
      </c>
      <c r="F28" s="3">
        <v>3.4</v>
      </c>
      <c r="G28" s="3">
        <v>1250</v>
      </c>
      <c r="H28" s="3">
        <v>6095</v>
      </c>
      <c r="J28" s="3">
        <v>224</v>
      </c>
    </row>
    <row r="29" spans="1:11" x14ac:dyDescent="0.2">
      <c r="A29" s="3" t="s">
        <v>384</v>
      </c>
      <c r="B29" s="3">
        <v>278</v>
      </c>
      <c r="C29" s="3">
        <v>1852</v>
      </c>
      <c r="D29" s="3">
        <v>11.68</v>
      </c>
      <c r="E29" s="3">
        <v>8.93</v>
      </c>
      <c r="F29" s="3">
        <v>2.69</v>
      </c>
      <c r="G29" s="3">
        <v>1480</v>
      </c>
      <c r="H29" s="3">
        <v>5485</v>
      </c>
      <c r="J29" s="3">
        <v>261</v>
      </c>
    </row>
    <row r="30" spans="1:11" x14ac:dyDescent="0.2">
      <c r="A30" s="3" t="s">
        <v>385</v>
      </c>
      <c r="B30" s="3">
        <v>263</v>
      </c>
      <c r="C30" s="3">
        <v>1250</v>
      </c>
      <c r="D30" s="3">
        <v>11.94</v>
      </c>
      <c r="E30" s="3">
        <v>8.06</v>
      </c>
      <c r="F30" s="3">
        <v>1.97</v>
      </c>
      <c r="G30" s="6">
        <v>1150</v>
      </c>
      <c r="H30" s="6">
        <v>5000</v>
      </c>
      <c r="I30" s="6"/>
      <c r="J30" s="6">
        <v>125.5</v>
      </c>
      <c r="K30" s="6">
        <f>14*90/1000</f>
        <v>1.26</v>
      </c>
    </row>
    <row r="31" spans="1:11" x14ac:dyDescent="0.2">
      <c r="A31" s="3" t="s">
        <v>386</v>
      </c>
      <c r="B31" s="3">
        <v>294</v>
      </c>
      <c r="C31" s="3">
        <v>1013</v>
      </c>
      <c r="D31" s="3">
        <v>10.87</v>
      </c>
      <c r="E31" s="3">
        <v>7.17</v>
      </c>
      <c r="F31" s="3">
        <v>2.1800000000000002</v>
      </c>
      <c r="G31" s="3">
        <v>800</v>
      </c>
      <c r="H31" s="3">
        <v>5365</v>
      </c>
      <c r="J31" s="3">
        <v>93</v>
      </c>
      <c r="K31" s="3">
        <f>12*40/1000</f>
        <v>0.48</v>
      </c>
    </row>
    <row r="32" spans="1:11" x14ac:dyDescent="0.2">
      <c r="A32" s="3" t="s">
        <v>387</v>
      </c>
      <c r="B32" s="3">
        <v>370</v>
      </c>
      <c r="D32" s="3">
        <v>7.9</v>
      </c>
      <c r="E32" s="3">
        <v>6.88</v>
      </c>
      <c r="F32" s="3">
        <v>1.97</v>
      </c>
      <c r="G32" s="3">
        <v>472.5</v>
      </c>
      <c r="J32" s="3">
        <v>73.5</v>
      </c>
    </row>
    <row r="33" spans="1:11" x14ac:dyDescent="0.2">
      <c r="A33" s="3" t="s">
        <v>388</v>
      </c>
      <c r="B33" s="3">
        <v>274</v>
      </c>
      <c r="C33" s="3">
        <v>1368</v>
      </c>
      <c r="D33" s="3">
        <v>10.4</v>
      </c>
      <c r="E33" s="3">
        <v>7.51</v>
      </c>
      <c r="F33" s="3">
        <v>2.4</v>
      </c>
      <c r="G33" s="3">
        <v>1203</v>
      </c>
      <c r="J33" s="3">
        <v>156</v>
      </c>
    </row>
    <row r="34" spans="1:11" x14ac:dyDescent="0.2">
      <c r="A34" s="3" t="s">
        <v>389</v>
      </c>
      <c r="B34" s="3">
        <v>202</v>
      </c>
      <c r="C34" s="3">
        <v>883</v>
      </c>
      <c r="D34" s="3">
        <v>9.6999999999999993</v>
      </c>
      <c r="E34" s="3">
        <v>6.6</v>
      </c>
      <c r="F34" s="3">
        <v>2.2000000000000002</v>
      </c>
      <c r="G34" s="3">
        <v>820</v>
      </c>
      <c r="J34" s="3">
        <v>73.5</v>
      </c>
    </row>
    <row r="35" spans="1:11" x14ac:dyDescent="0.2">
      <c r="A35" s="3" t="s">
        <v>390</v>
      </c>
      <c r="B35" s="3">
        <v>385</v>
      </c>
      <c r="C35" s="3">
        <v>1681</v>
      </c>
      <c r="D35" s="3">
        <v>9.14</v>
      </c>
      <c r="E35" s="3">
        <v>7.97</v>
      </c>
      <c r="F35" s="3">
        <v>2.76</v>
      </c>
      <c r="G35" s="3">
        <v>1555</v>
      </c>
      <c r="H35" s="3">
        <v>4875</v>
      </c>
      <c r="J35" s="3">
        <v>235</v>
      </c>
    </row>
    <row r="36" spans="1:11" x14ac:dyDescent="0.2">
      <c r="A36" s="3" t="s">
        <v>391</v>
      </c>
      <c r="B36" s="3">
        <v>267</v>
      </c>
      <c r="C36" s="3">
        <v>459</v>
      </c>
      <c r="D36" s="3">
        <v>10.14</v>
      </c>
      <c r="E36" s="3">
        <v>7.58</v>
      </c>
      <c r="F36" s="3">
        <v>2.91</v>
      </c>
      <c r="G36" s="3">
        <v>1080</v>
      </c>
      <c r="H36" s="3">
        <v>4170</v>
      </c>
      <c r="J36" s="3">
        <v>175</v>
      </c>
      <c r="K36" s="3">
        <v>1.6</v>
      </c>
    </row>
    <row r="37" spans="1:11" x14ac:dyDescent="0.2">
      <c r="A37" s="3" t="s">
        <v>392</v>
      </c>
      <c r="B37" s="3">
        <v>235</v>
      </c>
      <c r="C37" s="3">
        <v>494</v>
      </c>
      <c r="D37" s="3">
        <v>9.34</v>
      </c>
      <c r="E37" s="3">
        <v>6.94</v>
      </c>
      <c r="F37" s="3">
        <v>2.95</v>
      </c>
      <c r="G37" s="3">
        <v>970</v>
      </c>
      <c r="H37" s="3">
        <v>4800</v>
      </c>
      <c r="J37" s="3">
        <v>149</v>
      </c>
      <c r="K37" s="3">
        <v>1.6</v>
      </c>
    </row>
    <row r="38" spans="1:11" x14ac:dyDescent="0.2">
      <c r="A38" s="3" t="s">
        <v>393</v>
      </c>
      <c r="B38" s="3">
        <v>235</v>
      </c>
      <c r="C38" s="3">
        <v>833</v>
      </c>
      <c r="D38" s="3">
        <v>8.66</v>
      </c>
      <c r="E38" s="3">
        <v>6.2</v>
      </c>
      <c r="F38" s="3">
        <v>1.1499999999999999</v>
      </c>
      <c r="G38" s="3">
        <v>735</v>
      </c>
      <c r="H38" s="3">
        <v>3445</v>
      </c>
      <c r="J38" s="3">
        <v>73.5</v>
      </c>
    </row>
    <row r="39" spans="1:11" x14ac:dyDescent="0.2">
      <c r="A39" s="3" t="s">
        <v>394</v>
      </c>
      <c r="B39" s="3">
        <v>244</v>
      </c>
      <c r="C39" s="3">
        <v>729</v>
      </c>
      <c r="D39" s="3">
        <v>8.66</v>
      </c>
      <c r="E39" s="3">
        <v>6.6</v>
      </c>
      <c r="F39" s="3">
        <v>1.1499999999999999</v>
      </c>
      <c r="G39" s="3">
        <v>985</v>
      </c>
      <c r="H39" s="3">
        <v>3445</v>
      </c>
      <c r="J39" s="3">
        <v>93</v>
      </c>
    </row>
    <row r="40" spans="1:11" x14ac:dyDescent="0.2">
      <c r="A40" s="3" t="s">
        <v>395</v>
      </c>
      <c r="B40" s="3">
        <v>265</v>
      </c>
      <c r="C40" s="3">
        <v>827</v>
      </c>
      <c r="D40" s="3">
        <v>8.7200000000000006</v>
      </c>
      <c r="E40" s="3">
        <v>6.96</v>
      </c>
      <c r="F40" s="3">
        <v>2.23</v>
      </c>
      <c r="G40" s="3">
        <v>1000</v>
      </c>
      <c r="H40" s="3">
        <v>4265</v>
      </c>
      <c r="J40" s="3">
        <v>104</v>
      </c>
      <c r="K40" s="3">
        <f>12*50/1000</f>
        <v>0.6</v>
      </c>
    </row>
    <row r="41" spans="1:11" x14ac:dyDescent="0.2">
      <c r="A41" s="3" t="s">
        <v>397</v>
      </c>
      <c r="B41" s="3">
        <v>278</v>
      </c>
      <c r="C41" s="3">
        <v>1900</v>
      </c>
      <c r="G41" s="3">
        <v>1100</v>
      </c>
      <c r="H41" s="3">
        <v>4720</v>
      </c>
      <c r="J41" s="3">
        <v>134</v>
      </c>
      <c r="K41" s="3">
        <v>0.6</v>
      </c>
    </row>
    <row r="42" spans="1:11" x14ac:dyDescent="0.2">
      <c r="A42" s="3" t="s">
        <v>398</v>
      </c>
      <c r="B42" s="3">
        <v>272</v>
      </c>
      <c r="C42" s="3">
        <v>1842</v>
      </c>
      <c r="G42" s="3">
        <v>1150</v>
      </c>
      <c r="J42" s="3">
        <v>149</v>
      </c>
      <c r="K42" s="3">
        <v>0.6</v>
      </c>
    </row>
    <row r="43" spans="1:11" x14ac:dyDescent="0.2">
      <c r="A43" s="3" t="s">
        <v>399</v>
      </c>
      <c r="B43" s="3">
        <v>343</v>
      </c>
      <c r="C43" s="3">
        <v>814</v>
      </c>
      <c r="D43" s="3">
        <v>8</v>
      </c>
      <c r="E43" s="3">
        <v>6.96</v>
      </c>
      <c r="F43" s="3">
        <v>2.62</v>
      </c>
      <c r="G43" s="3">
        <v>820</v>
      </c>
      <c r="H43" s="3">
        <v>4875</v>
      </c>
      <c r="J43" s="3">
        <v>224</v>
      </c>
      <c r="K43" s="3">
        <f>12*65/1000</f>
        <v>0.78</v>
      </c>
    </row>
    <row r="44" spans="1:11" x14ac:dyDescent="0.2">
      <c r="A44" s="3" t="s">
        <v>400</v>
      </c>
      <c r="B44" s="3">
        <v>343</v>
      </c>
      <c r="C44" s="3">
        <v>944</v>
      </c>
      <c r="D44" s="3">
        <v>8</v>
      </c>
      <c r="E44" s="3">
        <v>6.96</v>
      </c>
      <c r="F44" s="3">
        <v>2.56</v>
      </c>
      <c r="G44" s="3">
        <v>950</v>
      </c>
      <c r="H44" s="3">
        <v>4875</v>
      </c>
      <c r="J44" s="3">
        <v>235</v>
      </c>
      <c r="K44" s="3">
        <v>0.78</v>
      </c>
    </row>
    <row r="45" spans="1:11" x14ac:dyDescent="0.2">
      <c r="A45" s="3" t="s">
        <v>401</v>
      </c>
      <c r="B45" s="3">
        <v>319</v>
      </c>
      <c r="C45" s="3">
        <v>1537</v>
      </c>
      <c r="D45" s="3">
        <v>10.18</v>
      </c>
      <c r="E45" s="3">
        <v>8.11</v>
      </c>
      <c r="F45" s="3">
        <v>2.66</v>
      </c>
      <c r="G45" s="3">
        <v>1440</v>
      </c>
      <c r="H45" s="3">
        <v>5485</v>
      </c>
      <c r="J45" s="3">
        <v>194</v>
      </c>
      <c r="K45" s="3">
        <f>28*80/1000</f>
        <v>2.2400000000000002</v>
      </c>
    </row>
    <row r="46" spans="1:11" x14ac:dyDescent="0.2">
      <c r="A46" s="3" t="s">
        <v>402</v>
      </c>
      <c r="B46" s="3">
        <v>389</v>
      </c>
      <c r="C46" s="3">
        <v>1481</v>
      </c>
      <c r="D46" s="3">
        <v>7.5</v>
      </c>
      <c r="E46" s="3">
        <v>6.3</v>
      </c>
      <c r="F46" s="3">
        <v>2.2999999999999998</v>
      </c>
      <c r="G46" s="3">
        <v>850</v>
      </c>
      <c r="H46" s="3">
        <v>4570</v>
      </c>
      <c r="J46" s="3">
        <v>235</v>
      </c>
    </row>
    <row r="47" spans="1:11" x14ac:dyDescent="0.2">
      <c r="A47" s="3" t="s">
        <v>403</v>
      </c>
      <c r="B47" s="3">
        <v>300</v>
      </c>
      <c r="C47" s="3">
        <v>1789</v>
      </c>
      <c r="D47" s="3">
        <v>9.8800000000000008</v>
      </c>
      <c r="E47" s="3">
        <v>7.74</v>
      </c>
      <c r="F47" s="3">
        <v>3.05</v>
      </c>
      <c r="G47" s="3">
        <v>1400</v>
      </c>
      <c r="H47" s="3">
        <v>4200</v>
      </c>
      <c r="J47" s="3">
        <v>194</v>
      </c>
    </row>
    <row r="48" spans="1:11" x14ac:dyDescent="0.2">
      <c r="A48" s="3" t="s">
        <v>404</v>
      </c>
      <c r="B48" s="3">
        <v>267</v>
      </c>
      <c r="C48" s="3">
        <v>1481</v>
      </c>
      <c r="D48" s="3">
        <v>10.3</v>
      </c>
      <c r="E48" s="3">
        <v>7.97</v>
      </c>
      <c r="F48" s="3">
        <v>2.64</v>
      </c>
      <c r="G48" s="3">
        <v>1160</v>
      </c>
      <c r="H48" s="3">
        <v>3660</v>
      </c>
      <c r="J48" s="3">
        <v>134</v>
      </c>
      <c r="K48" s="3">
        <f>28*60/1000</f>
        <v>1.68</v>
      </c>
    </row>
    <row r="49" spans="1:11" x14ac:dyDescent="0.2">
      <c r="A49" s="3" t="s">
        <v>405</v>
      </c>
      <c r="B49" s="3">
        <v>257</v>
      </c>
      <c r="C49" s="3">
        <v>1181</v>
      </c>
      <c r="D49" s="3">
        <v>9.99</v>
      </c>
      <c r="E49" s="3">
        <v>7.23</v>
      </c>
      <c r="F49" s="3">
        <v>2.77</v>
      </c>
      <c r="G49" s="3">
        <v>1155</v>
      </c>
      <c r="H49" s="3">
        <v>4570</v>
      </c>
      <c r="J49" s="3">
        <v>134</v>
      </c>
    </row>
    <row r="50" spans="1:11" x14ac:dyDescent="0.2">
      <c r="A50" s="3" t="s">
        <v>406</v>
      </c>
      <c r="B50" s="3">
        <v>389</v>
      </c>
      <c r="C50" s="3">
        <v>1852</v>
      </c>
      <c r="D50" s="3">
        <v>11.29</v>
      </c>
      <c r="E50" s="3">
        <v>8.0299999999999994</v>
      </c>
      <c r="F50" s="3">
        <v>2.71</v>
      </c>
      <c r="G50" s="3">
        <v>1633</v>
      </c>
      <c r="H50" s="3">
        <v>7620</v>
      </c>
      <c r="J50" s="3">
        <v>235</v>
      </c>
    </row>
    <row r="51" spans="1:11" x14ac:dyDescent="0.2">
      <c r="A51" s="3" t="s">
        <v>407</v>
      </c>
      <c r="B51" s="3">
        <v>260</v>
      </c>
      <c r="D51" s="3">
        <v>7.15</v>
      </c>
      <c r="E51" s="3">
        <v>6.45</v>
      </c>
      <c r="F51" s="3">
        <v>1.85</v>
      </c>
      <c r="G51" s="3">
        <v>700</v>
      </c>
    </row>
    <row r="52" spans="1:11" x14ac:dyDescent="0.2">
      <c r="A52" s="3" t="s">
        <v>408</v>
      </c>
      <c r="B52" s="3">
        <v>256</v>
      </c>
      <c r="C52" s="3">
        <v>1148</v>
      </c>
      <c r="D52" s="3">
        <v>8.33</v>
      </c>
      <c r="E52" s="3">
        <v>7.1</v>
      </c>
      <c r="F52" s="3">
        <v>2.13</v>
      </c>
      <c r="G52" s="3">
        <v>800</v>
      </c>
      <c r="H52" s="3">
        <v>4570</v>
      </c>
      <c r="J52" s="3">
        <v>119</v>
      </c>
      <c r="K52" s="3">
        <f>14*24/1000</f>
        <v>0.33600000000000002</v>
      </c>
    </row>
    <row r="53" spans="1:11" x14ac:dyDescent="0.2">
      <c r="A53" s="3" t="s">
        <v>409</v>
      </c>
      <c r="B53" s="3">
        <v>346</v>
      </c>
      <c r="C53" s="3">
        <v>1852</v>
      </c>
      <c r="D53" s="3">
        <v>10.86</v>
      </c>
      <c r="E53" s="3">
        <v>8.07</v>
      </c>
      <c r="F53" s="3">
        <v>2.19</v>
      </c>
      <c r="G53" s="3">
        <v>1315</v>
      </c>
      <c r="H53" s="3">
        <v>6095</v>
      </c>
      <c r="J53" s="3">
        <v>157</v>
      </c>
    </row>
    <row r="54" spans="1:11" x14ac:dyDescent="0.2">
      <c r="A54" s="3" t="s">
        <v>410</v>
      </c>
      <c r="B54" s="3">
        <v>278</v>
      </c>
      <c r="C54" s="3">
        <v>1481</v>
      </c>
      <c r="D54" s="3">
        <v>10.4</v>
      </c>
      <c r="E54" s="3">
        <v>7.42</v>
      </c>
      <c r="F54" s="3">
        <v>2.27</v>
      </c>
      <c r="G54" s="3">
        <v>1200</v>
      </c>
      <c r="H54" s="3">
        <v>5945</v>
      </c>
      <c r="J54" s="3">
        <v>149</v>
      </c>
      <c r="K54" s="3">
        <f>12*50/1000</f>
        <v>0.6</v>
      </c>
    </row>
    <row r="55" spans="1:11" x14ac:dyDescent="0.2">
      <c r="A55" s="3" t="s">
        <v>188</v>
      </c>
      <c r="B55" s="3">
        <v>389</v>
      </c>
      <c r="C55" s="3">
        <v>3665</v>
      </c>
      <c r="D55" s="3">
        <v>10.4</v>
      </c>
      <c r="E55" s="3">
        <v>7.42</v>
      </c>
      <c r="F55" s="3">
        <v>2.27</v>
      </c>
      <c r="G55" s="3">
        <v>1620</v>
      </c>
      <c r="H55" s="3">
        <v>5945</v>
      </c>
      <c r="J55" s="3">
        <v>194</v>
      </c>
      <c r="K55" s="3">
        <v>0.6</v>
      </c>
    </row>
    <row r="56" spans="1:11" x14ac:dyDescent="0.2">
      <c r="A56" s="3" t="s">
        <v>411</v>
      </c>
      <c r="B56" s="3">
        <v>233</v>
      </c>
      <c r="C56" s="3">
        <v>959</v>
      </c>
      <c r="D56" s="3">
        <v>11</v>
      </c>
      <c r="E56" s="3">
        <v>8.2799999999999994</v>
      </c>
      <c r="F56" s="3">
        <v>2.72</v>
      </c>
      <c r="G56" s="3">
        <v>1157</v>
      </c>
      <c r="H56" s="3">
        <v>4265</v>
      </c>
      <c r="J56" s="3">
        <v>134</v>
      </c>
      <c r="K56" s="3">
        <f>28*60/1000</f>
        <v>1.68</v>
      </c>
    </row>
    <row r="57" spans="1:11" x14ac:dyDescent="0.2">
      <c r="A57" s="3" t="s">
        <v>412</v>
      </c>
      <c r="B57" s="3">
        <v>326</v>
      </c>
      <c r="C57" s="3">
        <v>1139</v>
      </c>
      <c r="D57" s="3">
        <v>10.97</v>
      </c>
      <c r="E57" s="3">
        <v>8.69</v>
      </c>
      <c r="F57" s="3">
        <v>2.84</v>
      </c>
      <c r="G57" s="3">
        <v>1406</v>
      </c>
      <c r="H57" s="3">
        <v>6095</v>
      </c>
      <c r="J57" s="3">
        <v>175.2</v>
      </c>
      <c r="K57" s="3">
        <f>28*95/1000</f>
        <v>2.66</v>
      </c>
    </row>
    <row r="58" spans="1:11" x14ac:dyDescent="0.2">
      <c r="A58" s="3" t="s">
        <v>413</v>
      </c>
      <c r="B58" s="3">
        <v>435</v>
      </c>
      <c r="C58" s="3">
        <v>2315</v>
      </c>
      <c r="D58" s="3">
        <v>10.92</v>
      </c>
      <c r="E58" s="3">
        <v>7.72</v>
      </c>
      <c r="F58" s="3">
        <v>2.74</v>
      </c>
      <c r="G58" s="3">
        <v>1633</v>
      </c>
      <c r="H58" s="3">
        <v>4265</v>
      </c>
      <c r="J58" s="3">
        <v>231</v>
      </c>
      <c r="K58" s="3">
        <f>2*23*60/1000</f>
        <v>2.76</v>
      </c>
    </row>
    <row r="59" spans="1:11" x14ac:dyDescent="0.2">
      <c r="A59" s="3" t="s">
        <v>414</v>
      </c>
      <c r="B59" s="3">
        <v>306</v>
      </c>
      <c r="C59" s="3">
        <v>1161</v>
      </c>
      <c r="D59" s="3">
        <v>11.68</v>
      </c>
      <c r="E59" s="3">
        <v>7.92</v>
      </c>
      <c r="F59" s="3">
        <v>2.72</v>
      </c>
      <c r="G59" s="3">
        <v>1383</v>
      </c>
      <c r="H59" s="3">
        <v>5335</v>
      </c>
      <c r="J59" s="3">
        <v>149</v>
      </c>
      <c r="K59" s="3">
        <f>28*75/1000</f>
        <v>2.1</v>
      </c>
    </row>
    <row r="60" spans="1:11" x14ac:dyDescent="0.2">
      <c r="A60" s="3" t="s">
        <v>415</v>
      </c>
      <c r="B60" s="3">
        <v>406</v>
      </c>
      <c r="C60" s="3">
        <v>1713</v>
      </c>
      <c r="D60" s="3">
        <v>11.68</v>
      </c>
      <c r="E60" s="3">
        <v>7.92</v>
      </c>
      <c r="F60" s="3">
        <v>2.72</v>
      </c>
      <c r="G60" s="6">
        <v>1542</v>
      </c>
      <c r="H60" s="6">
        <v>5335</v>
      </c>
      <c r="I60" s="6"/>
      <c r="J60" s="6">
        <v>231</v>
      </c>
      <c r="K60" s="6">
        <f>28*75/1000</f>
        <v>2.1</v>
      </c>
    </row>
    <row r="61" spans="1:11" x14ac:dyDescent="0.2">
      <c r="A61" s="3" t="s">
        <v>416</v>
      </c>
      <c r="B61" s="3">
        <v>448</v>
      </c>
      <c r="C61" s="3">
        <v>2676</v>
      </c>
      <c r="D61" s="3">
        <v>11.1</v>
      </c>
      <c r="E61" s="3">
        <v>8.15</v>
      </c>
      <c r="F61" s="3">
        <v>2.54</v>
      </c>
      <c r="G61" s="3">
        <v>1530</v>
      </c>
      <c r="H61" s="3">
        <v>7620</v>
      </c>
      <c r="J61" s="3">
        <v>208.8</v>
      </c>
      <c r="K61" s="3">
        <f>24*100/1000</f>
        <v>2.4</v>
      </c>
    </row>
    <row r="62" spans="1:11" x14ac:dyDescent="0.2">
      <c r="A62" s="3" t="s">
        <v>417</v>
      </c>
      <c r="B62" s="3">
        <v>246</v>
      </c>
      <c r="C62" s="3">
        <v>822</v>
      </c>
      <c r="D62" s="3">
        <v>10.67</v>
      </c>
      <c r="E62" s="3">
        <v>7.32</v>
      </c>
      <c r="F62" s="3">
        <v>2.2200000000000002</v>
      </c>
      <c r="G62" s="3">
        <v>1156</v>
      </c>
      <c r="H62" s="3">
        <v>4300</v>
      </c>
      <c r="J62" s="3">
        <v>134</v>
      </c>
      <c r="K62" s="3">
        <f>28*70/1000</f>
        <v>1.96</v>
      </c>
    </row>
    <row r="63" spans="1:11" x14ac:dyDescent="0.2">
      <c r="A63" s="3" t="s">
        <v>418</v>
      </c>
      <c r="B63" s="3">
        <v>267</v>
      </c>
      <c r="C63" s="3">
        <v>1629</v>
      </c>
      <c r="D63" s="3">
        <v>10.8</v>
      </c>
      <c r="E63" s="3">
        <v>7.52</v>
      </c>
      <c r="F63" s="3">
        <v>2.39</v>
      </c>
      <c r="G63" s="3">
        <v>1247</v>
      </c>
      <c r="H63" s="3">
        <v>4940</v>
      </c>
      <c r="J63" s="3">
        <v>149</v>
      </c>
      <c r="K63" s="3">
        <f>28*60/1000</f>
        <v>1.68</v>
      </c>
    </row>
    <row r="64" spans="1:11" x14ac:dyDescent="0.2">
      <c r="A64" s="3" t="s">
        <v>419</v>
      </c>
      <c r="B64" s="3">
        <v>241</v>
      </c>
      <c r="D64" s="3">
        <v>7.92</v>
      </c>
      <c r="E64" s="3">
        <v>5.79</v>
      </c>
      <c r="F64" s="3">
        <v>2</v>
      </c>
      <c r="G64" s="3">
        <v>544</v>
      </c>
      <c r="H64" s="3">
        <v>3050</v>
      </c>
      <c r="J64" s="3">
        <v>89</v>
      </c>
    </row>
    <row r="65" spans="1:11" x14ac:dyDescent="0.2">
      <c r="A65" s="3" t="s">
        <v>420</v>
      </c>
      <c r="B65" s="3">
        <v>206</v>
      </c>
      <c r="C65" s="3">
        <v>1229</v>
      </c>
      <c r="D65" s="3">
        <v>8.8000000000000007</v>
      </c>
      <c r="E65" s="3">
        <v>6.49</v>
      </c>
      <c r="F65" s="3">
        <v>2.4</v>
      </c>
      <c r="G65" s="3">
        <v>600</v>
      </c>
      <c r="H65" s="3">
        <v>3658</v>
      </c>
      <c r="J65" s="3">
        <v>73.5</v>
      </c>
    </row>
    <row r="66" spans="1:11" x14ac:dyDescent="0.2">
      <c r="A66" s="3" t="s">
        <v>421</v>
      </c>
      <c r="B66" s="3">
        <v>185</v>
      </c>
      <c r="C66" s="3">
        <v>563</v>
      </c>
      <c r="D66" s="3">
        <v>9.1999999999999993</v>
      </c>
      <c r="E66" s="3">
        <v>6.37</v>
      </c>
      <c r="F66" s="3">
        <v>2.5099999999999998</v>
      </c>
      <c r="G66" s="3">
        <v>600</v>
      </c>
      <c r="H66" s="3">
        <v>3660</v>
      </c>
      <c r="J66" s="3">
        <v>23.5</v>
      </c>
    </row>
    <row r="67" spans="1:11" x14ac:dyDescent="0.2">
      <c r="A67" s="3" t="s">
        <v>422</v>
      </c>
      <c r="B67" s="3">
        <v>296</v>
      </c>
      <c r="C67" s="3">
        <v>1809</v>
      </c>
      <c r="D67" s="3">
        <v>8</v>
      </c>
      <c r="E67" s="3">
        <v>6.55</v>
      </c>
      <c r="F67" s="3">
        <v>2.06</v>
      </c>
      <c r="G67" s="3">
        <v>600</v>
      </c>
      <c r="J67" s="3">
        <v>79.8</v>
      </c>
    </row>
    <row r="68" spans="1:11" x14ac:dyDescent="0.2">
      <c r="A68" s="3" t="s">
        <v>423</v>
      </c>
      <c r="B68" s="3">
        <v>250</v>
      </c>
      <c r="D68" s="3">
        <v>9.1300000000000008</v>
      </c>
      <c r="E68" s="3">
        <v>6.45</v>
      </c>
      <c r="F68" s="3">
        <v>2.2799999999999998</v>
      </c>
      <c r="G68" s="3">
        <v>600</v>
      </c>
      <c r="J68" s="3">
        <v>59.6</v>
      </c>
    </row>
    <row r="69" spans="1:11" x14ac:dyDescent="0.2">
      <c r="A69" s="3" t="s">
        <v>424</v>
      </c>
      <c r="B69" s="3">
        <v>220</v>
      </c>
      <c r="C69" s="3">
        <v>948</v>
      </c>
      <c r="D69" s="3">
        <v>8.6</v>
      </c>
      <c r="E69" s="3">
        <v>6.62</v>
      </c>
      <c r="F69" s="3">
        <v>2.3199999999999998</v>
      </c>
      <c r="G69" s="3">
        <v>600</v>
      </c>
      <c r="H69" s="3">
        <v>4570</v>
      </c>
      <c r="J69" s="3">
        <v>73.5</v>
      </c>
      <c r="K69" s="3">
        <f>12*20/1000</f>
        <v>0.24</v>
      </c>
    </row>
    <row r="70" spans="1:11" x14ac:dyDescent="0.2">
      <c r="A70" s="3" t="s">
        <v>425</v>
      </c>
      <c r="B70" s="3">
        <v>250</v>
      </c>
      <c r="D70" s="3">
        <v>8.1999999999999993</v>
      </c>
      <c r="E70" s="3">
        <v>6.15</v>
      </c>
      <c r="F70" s="3">
        <v>2.25</v>
      </c>
      <c r="G70" s="3">
        <v>450</v>
      </c>
      <c r="J70" s="3">
        <v>58.8</v>
      </c>
    </row>
    <row r="71" spans="1:11" x14ac:dyDescent="0.2">
      <c r="A71" s="3" t="s">
        <v>426</v>
      </c>
      <c r="B71" s="3">
        <v>241</v>
      </c>
      <c r="C71" s="3">
        <v>1000</v>
      </c>
      <c r="D71" s="3">
        <v>8.14</v>
      </c>
      <c r="E71" s="3">
        <v>6.63</v>
      </c>
      <c r="F71" s="3">
        <v>2.29</v>
      </c>
      <c r="G71" s="3">
        <v>450</v>
      </c>
      <c r="H71" s="3">
        <v>350</v>
      </c>
      <c r="J71" s="3">
        <v>73.5</v>
      </c>
    </row>
    <row r="72" spans="1:11" x14ac:dyDescent="0.2">
      <c r="A72" s="3" t="s">
        <v>427</v>
      </c>
      <c r="B72" s="3">
        <v>220</v>
      </c>
      <c r="C72" s="3">
        <v>2198</v>
      </c>
      <c r="D72" s="3">
        <v>9.4499999999999993</v>
      </c>
      <c r="E72" s="3">
        <v>6.86</v>
      </c>
      <c r="F72" s="3">
        <v>2.4</v>
      </c>
      <c r="G72" s="3">
        <v>598</v>
      </c>
      <c r="H72" s="3">
        <v>4500</v>
      </c>
      <c r="J72" s="3">
        <v>73.5</v>
      </c>
    </row>
    <row r="73" spans="1:11" x14ac:dyDescent="0.2">
      <c r="A73" s="3" t="s">
        <v>428</v>
      </c>
      <c r="B73" s="3">
        <v>222</v>
      </c>
      <c r="C73" s="3">
        <v>1298</v>
      </c>
      <c r="D73" s="3">
        <v>9.25</v>
      </c>
      <c r="E73" s="3">
        <v>6.11</v>
      </c>
      <c r="F73" s="3">
        <v>2.48</v>
      </c>
      <c r="G73" s="3">
        <v>472.5</v>
      </c>
      <c r="J73" s="3">
        <v>73.5</v>
      </c>
    </row>
    <row r="74" spans="1:11" x14ac:dyDescent="0.2">
      <c r="A74" s="3" t="s">
        <v>429</v>
      </c>
      <c r="B74" s="3">
        <v>230</v>
      </c>
      <c r="C74" s="3">
        <v>1194</v>
      </c>
      <c r="D74" s="3">
        <v>9.9</v>
      </c>
      <c r="E74" s="3">
        <v>7.2</v>
      </c>
      <c r="F74" s="3">
        <v>2.6</v>
      </c>
      <c r="G74" s="3">
        <v>472.5</v>
      </c>
      <c r="J74" s="3">
        <v>59.6</v>
      </c>
    </row>
    <row r="75" spans="1:11" x14ac:dyDescent="0.2">
      <c r="A75" s="3" t="s">
        <v>430</v>
      </c>
      <c r="B75" s="3">
        <v>232</v>
      </c>
      <c r="C75" s="3">
        <v>1600</v>
      </c>
      <c r="D75" s="3">
        <v>9.9</v>
      </c>
      <c r="E75" s="3">
        <v>7.1</v>
      </c>
      <c r="F75" s="3">
        <v>2.46</v>
      </c>
      <c r="G75" s="3">
        <v>600</v>
      </c>
      <c r="J75" s="3">
        <v>73.5</v>
      </c>
    </row>
    <row r="76" spans="1:11" x14ac:dyDescent="0.2">
      <c r="A76" s="3" t="s">
        <v>431</v>
      </c>
      <c r="B76" s="3">
        <v>175</v>
      </c>
      <c r="C76" s="3">
        <v>1200</v>
      </c>
      <c r="D76" s="3">
        <v>10.199999999999999</v>
      </c>
      <c r="E76" s="3">
        <v>6.25</v>
      </c>
      <c r="F76" s="3">
        <v>2.1</v>
      </c>
      <c r="G76" s="3">
        <v>600</v>
      </c>
      <c r="J76" s="3">
        <v>59.6</v>
      </c>
    </row>
    <row r="77" spans="1:11" x14ac:dyDescent="0.2">
      <c r="A77" s="3" t="s">
        <v>432</v>
      </c>
      <c r="B77" s="3">
        <v>205</v>
      </c>
      <c r="C77" s="3">
        <v>1350</v>
      </c>
      <c r="D77" s="3">
        <v>8.44</v>
      </c>
      <c r="E77" s="3">
        <v>6.24</v>
      </c>
      <c r="F77" s="3">
        <v>2.0499999999999998</v>
      </c>
      <c r="G77" s="3">
        <v>450</v>
      </c>
      <c r="H77" s="3">
        <v>4023</v>
      </c>
      <c r="J77" s="3">
        <v>59.6</v>
      </c>
      <c r="K77" s="3">
        <f>12*14/1000</f>
        <v>0.16800000000000001</v>
      </c>
    </row>
    <row r="78" spans="1:11" x14ac:dyDescent="0.2">
      <c r="A78" s="3" t="s">
        <v>433</v>
      </c>
      <c r="B78" s="3">
        <v>209</v>
      </c>
      <c r="D78" s="3">
        <v>9.6</v>
      </c>
      <c r="E78" s="3">
        <v>6.87</v>
      </c>
      <c r="F78" s="3">
        <v>2.35</v>
      </c>
      <c r="G78" s="3">
        <v>600</v>
      </c>
      <c r="J78" s="3">
        <v>73.5</v>
      </c>
    </row>
    <row r="79" spans="1:11" x14ac:dyDescent="0.2">
      <c r="A79" s="3" t="s">
        <v>434</v>
      </c>
      <c r="B79" s="3">
        <v>235</v>
      </c>
      <c r="C79" s="3">
        <v>833</v>
      </c>
      <c r="D79" s="3">
        <v>8.66</v>
      </c>
      <c r="E79" s="3">
        <v>6.6</v>
      </c>
      <c r="F79" s="3">
        <v>2.4</v>
      </c>
      <c r="G79" s="3">
        <v>655</v>
      </c>
      <c r="H79" s="3">
        <v>3445</v>
      </c>
      <c r="J79" s="3">
        <v>59.6</v>
      </c>
    </row>
    <row r="80" spans="1:11" x14ac:dyDescent="0.2">
      <c r="A80" s="3" t="s">
        <v>435</v>
      </c>
      <c r="B80" s="3">
        <v>241</v>
      </c>
      <c r="C80" s="3">
        <v>990</v>
      </c>
      <c r="D80" s="3">
        <v>10.3</v>
      </c>
      <c r="E80" s="3">
        <v>7.4</v>
      </c>
      <c r="F80" s="3">
        <v>2.2999999999999998</v>
      </c>
      <c r="G80" s="3">
        <v>750</v>
      </c>
      <c r="H80" s="3">
        <v>4420</v>
      </c>
      <c r="J80" s="3">
        <v>73.5</v>
      </c>
      <c r="K80" s="3">
        <f>12*40/1000</f>
        <v>0.48</v>
      </c>
    </row>
    <row r="81" spans="1:11" x14ac:dyDescent="0.2">
      <c r="A81" s="3" t="s">
        <v>436</v>
      </c>
      <c r="B81" s="3">
        <v>270</v>
      </c>
      <c r="C81" s="3">
        <v>1998</v>
      </c>
      <c r="D81" s="3">
        <v>9.31</v>
      </c>
      <c r="E81" s="3">
        <v>6.22</v>
      </c>
      <c r="F81" s="3">
        <v>2.17</v>
      </c>
      <c r="G81" s="3">
        <v>600</v>
      </c>
      <c r="H81" s="3">
        <v>4265</v>
      </c>
      <c r="J81" s="3">
        <v>59.6</v>
      </c>
      <c r="K81" s="3">
        <f>12*7/1000</f>
        <v>8.4000000000000005E-2</v>
      </c>
    </row>
    <row r="82" spans="1:11" x14ac:dyDescent="0.2">
      <c r="A82" s="3" t="s">
        <v>437</v>
      </c>
      <c r="B82" s="3">
        <v>220</v>
      </c>
      <c r="D82" s="3">
        <v>9.6</v>
      </c>
      <c r="E82" s="3">
        <v>6.12</v>
      </c>
      <c r="F82" s="3">
        <v>2.12</v>
      </c>
      <c r="G82" s="3">
        <v>472.5</v>
      </c>
      <c r="J82" s="3">
        <v>59.6</v>
      </c>
    </row>
    <row r="83" spans="1:11" x14ac:dyDescent="0.2">
      <c r="A83" s="3" t="s">
        <v>438</v>
      </c>
      <c r="B83" s="3">
        <v>313</v>
      </c>
      <c r="C83" s="3">
        <v>929</v>
      </c>
      <c r="D83" s="3">
        <v>8.33</v>
      </c>
      <c r="E83" s="3">
        <v>6.7</v>
      </c>
      <c r="F83" s="3">
        <v>2.44</v>
      </c>
      <c r="G83" s="3">
        <v>472.5</v>
      </c>
      <c r="H83" s="3">
        <v>4875</v>
      </c>
      <c r="J83" s="3">
        <v>79.7</v>
      </c>
    </row>
    <row r="84" spans="1:11" x14ac:dyDescent="0.2">
      <c r="A84" s="3" t="s">
        <v>439</v>
      </c>
      <c r="B84" s="3">
        <v>282</v>
      </c>
      <c r="C84" s="3">
        <v>1000</v>
      </c>
      <c r="D84" s="3">
        <v>9.4499999999999993</v>
      </c>
      <c r="E84" s="3">
        <v>6.17</v>
      </c>
      <c r="F84" s="3">
        <v>2.17</v>
      </c>
      <c r="G84" s="3">
        <v>750</v>
      </c>
      <c r="H84" s="3">
        <v>4265</v>
      </c>
      <c r="J84" s="3">
        <v>84.6</v>
      </c>
      <c r="K84" s="3">
        <f>12*60/1000</f>
        <v>0.72</v>
      </c>
    </row>
    <row r="85" spans="1:11" x14ac:dyDescent="0.2">
      <c r="A85" s="3" t="s">
        <v>440</v>
      </c>
      <c r="B85" s="3">
        <v>235</v>
      </c>
      <c r="C85" s="3">
        <v>950</v>
      </c>
      <c r="D85" s="3">
        <v>9.4499999999999993</v>
      </c>
      <c r="E85" s="3">
        <v>6.26</v>
      </c>
      <c r="F85" s="3">
        <v>2.33</v>
      </c>
      <c r="G85" s="3">
        <v>600</v>
      </c>
      <c r="H85" s="3">
        <v>4265</v>
      </c>
      <c r="J85" s="3">
        <v>73.5</v>
      </c>
      <c r="K85" s="3">
        <v>0.72</v>
      </c>
    </row>
    <row r="86" spans="1:11" x14ac:dyDescent="0.2">
      <c r="A86" s="3" t="s">
        <v>441</v>
      </c>
      <c r="B86" s="3">
        <v>241</v>
      </c>
      <c r="C86" s="3">
        <v>900</v>
      </c>
      <c r="D86" s="3">
        <v>8.41</v>
      </c>
      <c r="E86" s="3">
        <v>7.1</v>
      </c>
      <c r="F86" s="3">
        <v>2.4300000000000002</v>
      </c>
      <c r="G86" s="3">
        <v>595</v>
      </c>
      <c r="J86" s="3">
        <v>73.5</v>
      </c>
    </row>
    <row r="87" spans="1:11" x14ac:dyDescent="0.2">
      <c r="A87" s="3" t="s">
        <v>442</v>
      </c>
      <c r="B87" s="3">
        <v>230</v>
      </c>
      <c r="C87" s="3">
        <v>1198</v>
      </c>
      <c r="D87" s="3">
        <v>10.4</v>
      </c>
      <c r="E87" s="3">
        <v>6.75</v>
      </c>
      <c r="F87" s="3">
        <v>2.2599999999999998</v>
      </c>
      <c r="G87" s="3">
        <v>472.5</v>
      </c>
      <c r="J87" s="3">
        <v>73.5</v>
      </c>
    </row>
    <row r="88" spans="1:11" x14ac:dyDescent="0.2">
      <c r="A88" s="3" t="s">
        <v>443</v>
      </c>
      <c r="B88" s="3">
        <v>200</v>
      </c>
      <c r="D88" s="3">
        <v>8.6</v>
      </c>
      <c r="E88" s="3">
        <v>6.99</v>
      </c>
      <c r="F88" s="3">
        <v>3</v>
      </c>
      <c r="G88" s="3">
        <v>450</v>
      </c>
      <c r="J88" s="3">
        <v>73.5</v>
      </c>
    </row>
    <row r="89" spans="1:11" x14ac:dyDescent="0.2">
      <c r="A89" s="3" t="s">
        <v>444</v>
      </c>
      <c r="B89" s="3">
        <v>220</v>
      </c>
      <c r="C89" s="3">
        <v>1039</v>
      </c>
      <c r="D89" s="3">
        <v>8</v>
      </c>
      <c r="E89" s="3">
        <v>7</v>
      </c>
      <c r="F89" s="3">
        <v>2.9</v>
      </c>
      <c r="G89" s="3">
        <v>560</v>
      </c>
      <c r="H89" s="3">
        <v>4000</v>
      </c>
      <c r="J89" s="3">
        <v>73.5</v>
      </c>
    </row>
    <row r="90" spans="1:11" x14ac:dyDescent="0.2">
      <c r="A90" s="3" t="s">
        <v>445</v>
      </c>
      <c r="B90" s="3">
        <v>200</v>
      </c>
      <c r="C90" s="3">
        <v>629</v>
      </c>
      <c r="D90" s="3">
        <v>9.6999999999999993</v>
      </c>
      <c r="E90" s="3">
        <v>7.6</v>
      </c>
      <c r="F90" s="3">
        <v>2.6</v>
      </c>
      <c r="G90" s="3">
        <v>450</v>
      </c>
      <c r="H90" s="3">
        <v>4100</v>
      </c>
      <c r="J90" s="3">
        <v>73.5</v>
      </c>
      <c r="K90" s="3">
        <f>12*40/1000</f>
        <v>0.48</v>
      </c>
    </row>
    <row r="91" spans="1:11" x14ac:dyDescent="0.2">
      <c r="A91" s="3" t="s">
        <v>446</v>
      </c>
      <c r="B91" s="3">
        <v>220</v>
      </c>
      <c r="D91" s="3">
        <v>9.1300000000000008</v>
      </c>
      <c r="E91" s="3">
        <v>6.96</v>
      </c>
      <c r="F91" s="3">
        <v>2.58</v>
      </c>
      <c r="G91" s="3">
        <v>475</v>
      </c>
      <c r="H91" s="3">
        <v>5000</v>
      </c>
      <c r="J91" s="3">
        <v>89.5</v>
      </c>
    </row>
    <row r="92" spans="1:11" x14ac:dyDescent="0.2">
      <c r="A92" s="3" t="s">
        <v>447</v>
      </c>
      <c r="B92" s="3">
        <v>287</v>
      </c>
      <c r="C92" s="3">
        <v>1240</v>
      </c>
      <c r="D92" s="3">
        <v>8.65</v>
      </c>
      <c r="E92" s="3">
        <v>7</v>
      </c>
      <c r="F92" s="3">
        <v>2.2999999999999998</v>
      </c>
      <c r="G92" s="3">
        <v>600</v>
      </c>
      <c r="H92" s="3">
        <v>4570</v>
      </c>
      <c r="J92" s="3">
        <v>73.5</v>
      </c>
      <c r="K92" s="3">
        <f>14*20/1000</f>
        <v>0.28000000000000003</v>
      </c>
    </row>
    <row r="93" spans="1:11" x14ac:dyDescent="0.2">
      <c r="A93" s="3" t="s">
        <v>448</v>
      </c>
      <c r="B93" s="3">
        <v>222</v>
      </c>
      <c r="C93" s="3">
        <v>1092</v>
      </c>
      <c r="D93" s="3">
        <v>8.6</v>
      </c>
      <c r="E93" s="3">
        <v>3.63</v>
      </c>
      <c r="F93" s="3">
        <v>2.4</v>
      </c>
      <c r="G93" s="3">
        <v>450</v>
      </c>
      <c r="H93" s="3">
        <v>4500</v>
      </c>
      <c r="J93" s="3">
        <v>73.5</v>
      </c>
      <c r="K93" s="3">
        <f>12*20/1000</f>
        <v>0.24</v>
      </c>
    </row>
    <row r="94" spans="1:11" x14ac:dyDescent="0.2">
      <c r="A94" s="3" t="s">
        <v>232</v>
      </c>
      <c r="B94" s="3">
        <v>226</v>
      </c>
      <c r="C94" s="3">
        <v>1276</v>
      </c>
      <c r="D94" s="3">
        <v>8.8000000000000007</v>
      </c>
      <c r="E94" s="3">
        <v>6.9</v>
      </c>
      <c r="F94" s="3">
        <v>2.46</v>
      </c>
      <c r="G94" s="3">
        <v>600</v>
      </c>
      <c r="H94" s="3">
        <v>4265</v>
      </c>
      <c r="J94" s="3">
        <v>73.5</v>
      </c>
      <c r="K94" s="3">
        <v>0.26</v>
      </c>
    </row>
    <row r="95" spans="1:11" x14ac:dyDescent="0.2">
      <c r="A95" s="3" t="s">
        <v>449</v>
      </c>
      <c r="B95" s="3">
        <v>200</v>
      </c>
      <c r="C95" s="3">
        <v>1009</v>
      </c>
      <c r="D95" s="3">
        <v>9</v>
      </c>
      <c r="E95" s="3">
        <v>5.8</v>
      </c>
      <c r="F95" s="3">
        <v>2.2999999999999998</v>
      </c>
      <c r="G95" s="3">
        <v>450</v>
      </c>
      <c r="J95" s="3">
        <v>59.6</v>
      </c>
    </row>
    <row r="96" spans="1:11" x14ac:dyDescent="0.2">
      <c r="A96" s="3" t="s">
        <v>450</v>
      </c>
      <c r="B96" s="3">
        <v>280</v>
      </c>
      <c r="D96" s="3">
        <v>8.4</v>
      </c>
      <c r="E96" s="3">
        <v>7.4</v>
      </c>
      <c r="F96" s="3">
        <v>2.5</v>
      </c>
      <c r="G96" s="3">
        <v>600</v>
      </c>
      <c r="J96" s="3">
        <v>73.5</v>
      </c>
    </row>
    <row r="97" spans="1:11" x14ac:dyDescent="0.2">
      <c r="A97" s="3" t="s">
        <v>451</v>
      </c>
      <c r="B97" s="3">
        <v>185</v>
      </c>
      <c r="C97" s="3">
        <v>650</v>
      </c>
      <c r="D97" s="3">
        <v>10.029999999999999</v>
      </c>
      <c r="E97" s="3">
        <v>6.87</v>
      </c>
      <c r="F97" s="3">
        <v>2.41</v>
      </c>
      <c r="G97" s="3">
        <v>550</v>
      </c>
      <c r="H97" s="3">
        <v>4000</v>
      </c>
      <c r="J97" s="3">
        <v>59.6</v>
      </c>
      <c r="K97" s="3">
        <f>12*20/1000</f>
        <v>0.24</v>
      </c>
    </row>
    <row r="98" spans="1:11" x14ac:dyDescent="0.2">
      <c r="A98" s="3" t="s">
        <v>452</v>
      </c>
      <c r="B98" s="3">
        <v>220</v>
      </c>
      <c r="C98" s="3">
        <v>716</v>
      </c>
      <c r="D98" s="3">
        <v>7.55</v>
      </c>
      <c r="E98" s="3">
        <v>6.25</v>
      </c>
      <c r="F98" s="3">
        <v>2.23</v>
      </c>
      <c r="G98" s="3">
        <v>582</v>
      </c>
      <c r="H98" s="3">
        <v>4000</v>
      </c>
      <c r="J98" s="3">
        <v>73.5</v>
      </c>
    </row>
    <row r="99" spans="1:11" x14ac:dyDescent="0.2">
      <c r="A99" s="3" t="s">
        <v>453</v>
      </c>
      <c r="B99" s="3">
        <v>215</v>
      </c>
      <c r="C99" s="3">
        <v>716</v>
      </c>
      <c r="D99" s="3">
        <v>8.35</v>
      </c>
      <c r="E99" s="3">
        <v>6.25</v>
      </c>
      <c r="F99" s="3">
        <v>2.23</v>
      </c>
      <c r="G99" s="3">
        <v>600</v>
      </c>
      <c r="H99" s="3">
        <v>4400</v>
      </c>
      <c r="J99" s="3">
        <v>73.5</v>
      </c>
    </row>
    <row r="100" spans="1:11" x14ac:dyDescent="0.2">
      <c r="A100" s="3" t="s">
        <v>454</v>
      </c>
      <c r="B100" s="3">
        <v>176</v>
      </c>
      <c r="C100" s="3">
        <v>800</v>
      </c>
      <c r="D100" s="3">
        <v>9.4499999999999993</v>
      </c>
      <c r="E100" s="3">
        <v>6.97</v>
      </c>
      <c r="F100" s="3">
        <v>2.67</v>
      </c>
      <c r="G100" s="3">
        <v>600</v>
      </c>
      <c r="H100" s="3">
        <v>3660</v>
      </c>
      <c r="J100" s="3">
        <v>73.5</v>
      </c>
    </row>
    <row r="101" spans="1:11" x14ac:dyDescent="0.2">
      <c r="A101" s="3" t="s">
        <v>455</v>
      </c>
      <c r="B101" s="3">
        <v>180</v>
      </c>
      <c r="C101" s="3">
        <v>1100</v>
      </c>
      <c r="D101" s="3">
        <v>9.5500000000000007</v>
      </c>
      <c r="E101" s="3">
        <v>6.23</v>
      </c>
      <c r="F101" s="3">
        <v>2.48</v>
      </c>
      <c r="G101" s="3">
        <v>600</v>
      </c>
      <c r="J101" s="3">
        <v>73.5</v>
      </c>
    </row>
    <row r="102" spans="1:11" x14ac:dyDescent="0.2">
      <c r="A102" s="3" t="s">
        <v>354</v>
      </c>
      <c r="B102" s="3">
        <v>180</v>
      </c>
      <c r="C102" s="3">
        <v>1000</v>
      </c>
      <c r="D102" s="3">
        <v>10.86</v>
      </c>
      <c r="E102" s="3">
        <v>6.81</v>
      </c>
      <c r="F102" s="3">
        <v>2.56</v>
      </c>
      <c r="G102" s="3">
        <v>750</v>
      </c>
      <c r="H102" s="3">
        <v>3000</v>
      </c>
      <c r="J102" s="3">
        <v>84.5</v>
      </c>
    </row>
    <row r="103" spans="1:11" x14ac:dyDescent="0.2">
      <c r="A103" s="3" t="s">
        <v>456</v>
      </c>
      <c r="B103" s="3">
        <v>174</v>
      </c>
      <c r="C103" s="3">
        <v>563</v>
      </c>
      <c r="D103" s="3">
        <v>10.210000000000001</v>
      </c>
      <c r="E103" s="3">
        <v>6.74</v>
      </c>
      <c r="F103" s="3">
        <v>2.35</v>
      </c>
      <c r="G103" s="3">
        <v>599</v>
      </c>
      <c r="H103" s="3">
        <v>3660</v>
      </c>
      <c r="J103" s="3">
        <v>74.599999999999994</v>
      </c>
      <c r="K103" s="3">
        <f>12*60/1000</f>
        <v>0.72</v>
      </c>
    </row>
    <row r="104" spans="1:11" x14ac:dyDescent="0.2">
      <c r="A104" s="3" t="s">
        <v>457</v>
      </c>
      <c r="B104" s="3">
        <v>193</v>
      </c>
      <c r="C104" s="3">
        <v>1029</v>
      </c>
      <c r="D104" s="3">
        <v>10.210000000000001</v>
      </c>
      <c r="E104" s="3">
        <v>6.73</v>
      </c>
      <c r="F104" s="3">
        <v>2.35</v>
      </c>
      <c r="G104" s="3">
        <v>794</v>
      </c>
      <c r="H104" s="3">
        <v>3505</v>
      </c>
      <c r="J104" s="3">
        <v>88</v>
      </c>
      <c r="K104" s="3">
        <f>12*60/1000</f>
        <v>0.72</v>
      </c>
    </row>
    <row r="105" spans="1:11" x14ac:dyDescent="0.2">
      <c r="A105" s="3" t="s">
        <v>458</v>
      </c>
      <c r="B105" s="3">
        <v>224</v>
      </c>
      <c r="C105" s="3">
        <v>892</v>
      </c>
      <c r="D105" s="3">
        <v>10.210000000000001</v>
      </c>
      <c r="E105" s="3">
        <v>6.73</v>
      </c>
      <c r="F105" s="3">
        <v>2.35</v>
      </c>
      <c r="G105" s="3">
        <v>794</v>
      </c>
      <c r="H105" s="3">
        <v>4570</v>
      </c>
      <c r="J105" s="3">
        <v>119</v>
      </c>
      <c r="K105" s="3">
        <v>0.72</v>
      </c>
    </row>
    <row r="106" spans="1:11" x14ac:dyDescent="0.2">
      <c r="A106" s="3" t="s">
        <v>459</v>
      </c>
      <c r="B106" s="3">
        <v>259</v>
      </c>
      <c r="C106" s="3">
        <v>798</v>
      </c>
      <c r="D106" s="3">
        <v>10.49</v>
      </c>
      <c r="E106" s="3">
        <v>6.73</v>
      </c>
      <c r="F106" s="3">
        <v>2.35</v>
      </c>
      <c r="G106" s="3">
        <v>816</v>
      </c>
      <c r="H106" s="3">
        <v>4725</v>
      </c>
      <c r="J106" s="3">
        <v>88</v>
      </c>
      <c r="K106" s="3">
        <v>0.72</v>
      </c>
    </row>
    <row r="107" spans="1:11" x14ac:dyDescent="0.2">
      <c r="A107" s="3" t="s">
        <v>460</v>
      </c>
      <c r="B107" s="3">
        <v>249</v>
      </c>
      <c r="C107" s="3">
        <v>942</v>
      </c>
      <c r="D107" s="3">
        <v>9.75</v>
      </c>
      <c r="E107" s="3">
        <v>6.98</v>
      </c>
      <c r="F107" s="3">
        <v>2.36</v>
      </c>
      <c r="G107" s="3">
        <v>885</v>
      </c>
      <c r="H107" s="3">
        <v>4875</v>
      </c>
      <c r="J107" s="3">
        <v>134</v>
      </c>
      <c r="K107" s="3">
        <v>0.72</v>
      </c>
    </row>
    <row r="108" spans="1:11" x14ac:dyDescent="0.2">
      <c r="A108" s="3" t="s">
        <v>461</v>
      </c>
      <c r="B108" s="3">
        <v>174</v>
      </c>
      <c r="C108" s="3">
        <v>505</v>
      </c>
      <c r="D108" s="3">
        <v>10.82</v>
      </c>
      <c r="E108" s="3">
        <v>6.83</v>
      </c>
      <c r="F108" s="3">
        <v>2.76</v>
      </c>
      <c r="G108" s="3">
        <v>599</v>
      </c>
      <c r="H108" s="3">
        <v>4570</v>
      </c>
      <c r="J108" s="3">
        <v>74.599999999999994</v>
      </c>
    </row>
    <row r="109" spans="1:11" x14ac:dyDescent="0.2">
      <c r="A109" s="3" t="s">
        <v>462</v>
      </c>
      <c r="B109" s="3">
        <v>306</v>
      </c>
      <c r="C109" s="3">
        <v>1085</v>
      </c>
      <c r="D109" s="3">
        <v>8.2799999999999994</v>
      </c>
      <c r="E109" s="3">
        <v>6.07</v>
      </c>
      <c r="F109" s="3">
        <v>1.98</v>
      </c>
      <c r="G109" s="3">
        <v>646</v>
      </c>
      <c r="J109" s="3">
        <v>89.5</v>
      </c>
    </row>
    <row r="110" spans="1:11" x14ac:dyDescent="0.2">
      <c r="A110" s="3" t="s">
        <v>463</v>
      </c>
      <c r="B110" s="3">
        <v>233</v>
      </c>
      <c r="C110" s="3">
        <v>1287</v>
      </c>
      <c r="D110" s="3">
        <v>10.82</v>
      </c>
      <c r="E110" s="3">
        <v>6.88</v>
      </c>
      <c r="F110" s="3">
        <v>2.0099999999999998</v>
      </c>
      <c r="G110" s="3">
        <v>1021</v>
      </c>
      <c r="H110" s="3">
        <v>6095</v>
      </c>
      <c r="J110" s="3">
        <v>134</v>
      </c>
      <c r="K110" s="3">
        <f>14*70/1000</f>
        <v>0.98</v>
      </c>
    </row>
    <row r="111" spans="1:11" x14ac:dyDescent="0.2">
      <c r="A111" s="3" t="s">
        <v>464</v>
      </c>
      <c r="B111" s="3">
        <v>226</v>
      </c>
      <c r="D111" s="3">
        <v>10.73</v>
      </c>
      <c r="E111" s="3">
        <v>7.11</v>
      </c>
      <c r="F111" s="3">
        <v>2.57</v>
      </c>
      <c r="G111" s="3">
        <v>1043</v>
      </c>
      <c r="H111" s="3">
        <v>4450</v>
      </c>
      <c r="J111" s="3">
        <v>134</v>
      </c>
      <c r="K111" s="3">
        <f>50*12/1000</f>
        <v>0.6</v>
      </c>
    </row>
    <row r="112" spans="1:11" x14ac:dyDescent="0.2">
      <c r="A112" s="3" t="s">
        <v>465</v>
      </c>
      <c r="B112" s="3">
        <v>163</v>
      </c>
      <c r="C112" s="3">
        <v>724</v>
      </c>
      <c r="D112" s="3">
        <v>10.44</v>
      </c>
      <c r="E112" s="3">
        <v>7.09</v>
      </c>
      <c r="F112" s="3">
        <v>2.54</v>
      </c>
      <c r="G112" s="3">
        <v>599</v>
      </c>
      <c r="H112" s="3">
        <v>4265</v>
      </c>
      <c r="J112" s="3">
        <v>74.599999999999994</v>
      </c>
    </row>
    <row r="113" spans="1:11" x14ac:dyDescent="0.2">
      <c r="A113" s="3" t="s">
        <v>466</v>
      </c>
      <c r="B113" s="3">
        <v>226</v>
      </c>
      <c r="C113" s="3">
        <v>842</v>
      </c>
      <c r="D113" s="3">
        <v>8.76</v>
      </c>
      <c r="E113" s="3">
        <v>6.19</v>
      </c>
      <c r="F113" s="3">
        <v>2.2599999999999998</v>
      </c>
      <c r="G113" s="3">
        <v>794</v>
      </c>
      <c r="H113" s="3">
        <v>3810</v>
      </c>
      <c r="J113" s="3">
        <v>93</v>
      </c>
      <c r="K113" s="3">
        <f>14*60/1000</f>
        <v>0.84</v>
      </c>
    </row>
    <row r="114" spans="1:11" x14ac:dyDescent="0.2">
      <c r="A114" s="3" t="s">
        <v>467</v>
      </c>
      <c r="B114" s="3">
        <v>165</v>
      </c>
      <c r="C114" s="3">
        <v>500</v>
      </c>
      <c r="D114" s="3">
        <v>10.81</v>
      </c>
      <c r="E114" s="3">
        <v>6.36</v>
      </c>
      <c r="F114" s="3">
        <v>6.11</v>
      </c>
      <c r="G114" s="3">
        <v>450</v>
      </c>
      <c r="H114" s="3">
        <v>4570</v>
      </c>
      <c r="J114" s="3">
        <v>59.6</v>
      </c>
    </row>
    <row r="115" spans="1:11" x14ac:dyDescent="0.2">
      <c r="A115" s="3" t="s">
        <v>468</v>
      </c>
      <c r="B115" s="3">
        <v>178</v>
      </c>
      <c r="C115" s="3">
        <v>618</v>
      </c>
      <c r="D115" s="3">
        <v>9.25</v>
      </c>
      <c r="E115" s="3">
        <v>6.32</v>
      </c>
      <c r="F115" s="3">
        <v>2.34</v>
      </c>
      <c r="G115" s="3">
        <v>599</v>
      </c>
      <c r="H115" s="3">
        <v>4265</v>
      </c>
      <c r="J115" s="3">
        <v>59.6</v>
      </c>
    </row>
    <row r="116" spans="1:11" x14ac:dyDescent="0.2">
      <c r="A116" s="3" t="s">
        <v>469</v>
      </c>
      <c r="B116" s="3">
        <v>178</v>
      </c>
      <c r="C116" s="3">
        <v>548</v>
      </c>
      <c r="D116" s="3">
        <v>8.92</v>
      </c>
      <c r="E116" s="3">
        <v>7.09</v>
      </c>
      <c r="F116" s="3">
        <v>1.91</v>
      </c>
      <c r="G116" s="3">
        <v>599</v>
      </c>
      <c r="H116" s="3">
        <v>4420</v>
      </c>
      <c r="J116" s="3">
        <v>59.6</v>
      </c>
    </row>
    <row r="117" spans="1:11" x14ac:dyDescent="0.2">
      <c r="A117" s="3" t="s">
        <v>470</v>
      </c>
      <c r="B117" s="3">
        <v>206</v>
      </c>
      <c r="C117" s="3">
        <v>961</v>
      </c>
      <c r="D117" s="3">
        <v>8.5299999999999994</v>
      </c>
      <c r="E117" s="3">
        <v>6.06</v>
      </c>
      <c r="F117" s="3">
        <v>2.4300000000000002</v>
      </c>
      <c r="G117" s="3">
        <v>599</v>
      </c>
      <c r="H117" s="3">
        <v>4420</v>
      </c>
      <c r="J117" s="3">
        <v>73.5</v>
      </c>
    </row>
    <row r="118" spans="1:11" x14ac:dyDescent="0.2">
      <c r="A118" s="4" t="s">
        <v>179</v>
      </c>
      <c r="B118" s="4">
        <v>161</v>
      </c>
      <c r="C118" s="4">
        <v>546</v>
      </c>
      <c r="D118" s="4">
        <v>10.92</v>
      </c>
      <c r="E118" s="4">
        <v>8.32</v>
      </c>
      <c r="F118" s="4">
        <v>2.54</v>
      </c>
      <c r="G118" s="4">
        <v>762</v>
      </c>
      <c r="H118" s="4">
        <v>5485</v>
      </c>
      <c r="J118" s="4">
        <v>95.6</v>
      </c>
    </row>
    <row r="119" spans="1:11" x14ac:dyDescent="0.2">
      <c r="A119" s="4" t="s">
        <v>180</v>
      </c>
      <c r="B119" s="4">
        <v>228</v>
      </c>
      <c r="C119" s="4">
        <v>1737</v>
      </c>
      <c r="D119" s="4">
        <v>13.41</v>
      </c>
      <c r="E119" s="4">
        <v>9.9600000000000009</v>
      </c>
      <c r="F119" s="4">
        <v>2.87</v>
      </c>
      <c r="G119" s="4">
        <v>1846</v>
      </c>
      <c r="H119" s="4">
        <v>5030</v>
      </c>
      <c r="J119" s="4">
        <v>265</v>
      </c>
    </row>
    <row r="120" spans="1:11" x14ac:dyDescent="0.2">
      <c r="A120" s="4" t="s">
        <v>181</v>
      </c>
      <c r="B120" s="4">
        <v>602</v>
      </c>
      <c r="C120" s="4">
        <v>2535</v>
      </c>
      <c r="D120" s="4">
        <v>13.11</v>
      </c>
      <c r="E120" s="4">
        <v>11.2</v>
      </c>
      <c r="F120" s="4">
        <v>3.81</v>
      </c>
      <c r="G120" s="4">
        <v>3402</v>
      </c>
      <c r="H120" s="4">
        <v>8535</v>
      </c>
      <c r="J120" s="4">
        <v>560</v>
      </c>
    </row>
    <row r="121" spans="1:11" x14ac:dyDescent="0.2">
      <c r="A121" s="4" t="s">
        <v>182</v>
      </c>
      <c r="B121" s="4">
        <v>282</v>
      </c>
      <c r="C121" s="4">
        <v>1277</v>
      </c>
      <c r="D121" s="4">
        <v>10.97</v>
      </c>
      <c r="E121" s="4">
        <v>7.01</v>
      </c>
      <c r="F121" s="4">
        <v>1.98</v>
      </c>
      <c r="G121" s="4">
        <v>1588</v>
      </c>
      <c r="H121" s="4">
        <v>4570</v>
      </c>
      <c r="J121" s="4">
        <v>186</v>
      </c>
    </row>
    <row r="122" spans="1:11" x14ac:dyDescent="0.2">
      <c r="A122" s="4" t="s">
        <v>183</v>
      </c>
      <c r="B122" s="4">
        <v>333</v>
      </c>
      <c r="C122" s="4">
        <v>2315</v>
      </c>
      <c r="D122" s="4">
        <v>10.62</v>
      </c>
      <c r="E122" s="4"/>
      <c r="F122" s="4"/>
      <c r="G122" s="4">
        <v>1451</v>
      </c>
      <c r="H122" s="4"/>
      <c r="J122" s="4">
        <v>238</v>
      </c>
    </row>
    <row r="123" spans="1:11" x14ac:dyDescent="0.2">
      <c r="A123" s="4" t="s">
        <v>184</v>
      </c>
      <c r="B123" s="4">
        <v>593</v>
      </c>
      <c r="C123" s="4">
        <v>2407</v>
      </c>
      <c r="D123" s="4">
        <v>11.28</v>
      </c>
      <c r="E123" s="4">
        <v>9.14</v>
      </c>
      <c r="F123" s="4">
        <v>3.05</v>
      </c>
      <c r="G123" s="4">
        <v>1950</v>
      </c>
      <c r="H123" s="4">
        <v>8535</v>
      </c>
      <c r="J123" s="4">
        <v>559</v>
      </c>
    </row>
    <row r="124" spans="1:11" x14ac:dyDescent="0.2">
      <c r="A124" s="4" t="s">
        <v>185</v>
      </c>
      <c r="B124" s="4">
        <v>282</v>
      </c>
      <c r="C124" s="4">
        <v>1459</v>
      </c>
      <c r="D124" s="4">
        <v>11.89</v>
      </c>
      <c r="E124" s="4">
        <v>7.92</v>
      </c>
      <c r="F124" s="4">
        <v>2.41</v>
      </c>
      <c r="G124" s="4">
        <v>1588</v>
      </c>
      <c r="H124" s="4">
        <v>4570</v>
      </c>
      <c r="J124" s="4">
        <v>224</v>
      </c>
    </row>
    <row r="125" spans="1:11" x14ac:dyDescent="0.2">
      <c r="A125" s="4" t="s">
        <v>186</v>
      </c>
      <c r="B125" s="4">
        <v>256</v>
      </c>
      <c r="C125" s="4">
        <v>863</v>
      </c>
      <c r="D125" s="4">
        <v>9.65</v>
      </c>
      <c r="E125" s="4">
        <v>6.97</v>
      </c>
      <c r="F125" s="4">
        <v>2.2000000000000002</v>
      </c>
      <c r="G125" s="4">
        <v>600</v>
      </c>
      <c r="H125" s="4">
        <v>4500</v>
      </c>
      <c r="J125" s="4">
        <v>73.5</v>
      </c>
    </row>
    <row r="126" spans="1:11" x14ac:dyDescent="0.2">
      <c r="A126" s="4" t="s">
        <v>187</v>
      </c>
      <c r="B126" s="4">
        <v>269</v>
      </c>
      <c r="C126" s="4">
        <v>1333</v>
      </c>
      <c r="D126" s="4">
        <v>10.67</v>
      </c>
      <c r="E126" s="4">
        <v>7.01</v>
      </c>
      <c r="F126" s="4">
        <v>2.84</v>
      </c>
      <c r="G126" s="4">
        <v>1066</v>
      </c>
      <c r="H126" s="4">
        <v>6095</v>
      </c>
      <c r="J126" s="4">
        <v>119</v>
      </c>
    </row>
    <row r="127" spans="1:11" x14ac:dyDescent="0.2">
      <c r="A127" s="4" t="s">
        <v>188</v>
      </c>
      <c r="B127" s="4">
        <v>389</v>
      </c>
      <c r="C127" s="4">
        <v>3665</v>
      </c>
      <c r="D127" s="4">
        <v>10.4</v>
      </c>
      <c r="E127" s="4">
        <v>7.42</v>
      </c>
      <c r="F127" s="4">
        <v>2.27</v>
      </c>
      <c r="G127" s="4">
        <v>1620</v>
      </c>
      <c r="H127" s="4">
        <v>5945</v>
      </c>
      <c r="J127" s="4">
        <v>194</v>
      </c>
      <c r="K127" s="3">
        <v>0.6</v>
      </c>
    </row>
    <row r="128" spans="1:11" x14ac:dyDescent="0.2">
      <c r="A128" s="4" t="s">
        <v>189</v>
      </c>
      <c r="B128" s="4">
        <v>324</v>
      </c>
      <c r="C128" s="4">
        <v>2296</v>
      </c>
      <c r="D128" s="4">
        <v>8.94</v>
      </c>
      <c r="E128" s="4">
        <v>5.79</v>
      </c>
      <c r="F128" s="4">
        <v>2.36</v>
      </c>
      <c r="G128" s="4">
        <v>1043</v>
      </c>
      <c r="H128" s="4">
        <v>5485</v>
      </c>
      <c r="J128" s="4">
        <v>149</v>
      </c>
    </row>
    <row r="129" spans="1:11" x14ac:dyDescent="0.2">
      <c r="A129" s="4" t="s">
        <v>190</v>
      </c>
      <c r="B129" s="4">
        <v>241</v>
      </c>
      <c r="C129" s="4"/>
      <c r="D129" s="4">
        <v>7.92</v>
      </c>
      <c r="E129" s="4">
        <v>6.71</v>
      </c>
      <c r="F129" s="4">
        <v>2</v>
      </c>
      <c r="G129" s="4">
        <v>800</v>
      </c>
      <c r="H129" s="4">
        <v>3050</v>
      </c>
      <c r="J129" s="4"/>
    </row>
    <row r="130" spans="1:11" x14ac:dyDescent="0.2">
      <c r="A130" s="4" t="s">
        <v>191</v>
      </c>
      <c r="B130" s="4">
        <v>200</v>
      </c>
      <c r="C130" s="4">
        <v>1279</v>
      </c>
      <c r="D130" s="4">
        <v>9.14</v>
      </c>
      <c r="E130" s="4">
        <v>6.81</v>
      </c>
      <c r="F130" s="4">
        <v>2.0299999999999998</v>
      </c>
      <c r="G130" s="4">
        <v>748</v>
      </c>
      <c r="H130" s="4">
        <v>3960</v>
      </c>
      <c r="J130" s="4">
        <v>59.6</v>
      </c>
    </row>
    <row r="131" spans="1:11" x14ac:dyDescent="0.2">
      <c r="A131" s="4" t="s">
        <v>192</v>
      </c>
      <c r="B131" s="4">
        <v>272</v>
      </c>
      <c r="C131" s="4">
        <v>1842</v>
      </c>
      <c r="D131" s="4">
        <v>7.32</v>
      </c>
      <c r="E131" s="4">
        <v>6.4</v>
      </c>
      <c r="F131" s="4">
        <v>2.44</v>
      </c>
      <c r="G131" s="4">
        <v>1043</v>
      </c>
      <c r="H131" s="4">
        <v>3660</v>
      </c>
      <c r="J131" s="4">
        <v>265</v>
      </c>
      <c r="K131" s="3">
        <v>0.12</v>
      </c>
    </row>
    <row r="132" spans="1:11" x14ac:dyDescent="0.2">
      <c r="A132" s="4" t="s">
        <v>193</v>
      </c>
      <c r="B132" s="4">
        <v>209</v>
      </c>
      <c r="C132" s="4"/>
      <c r="D132" s="4">
        <v>5.6</v>
      </c>
      <c r="E132" s="4">
        <v>4.2300000000000004</v>
      </c>
      <c r="F132" s="4">
        <v>1.62</v>
      </c>
      <c r="G132" s="4">
        <v>228</v>
      </c>
      <c r="H132" s="4"/>
      <c r="J132" s="4">
        <v>37.799999999999997</v>
      </c>
    </row>
    <row r="133" spans="1:11" x14ac:dyDescent="0.2">
      <c r="A133" s="4" t="s">
        <v>194</v>
      </c>
      <c r="B133" s="4">
        <v>309</v>
      </c>
      <c r="C133" s="4"/>
      <c r="D133" s="4">
        <v>7.4</v>
      </c>
      <c r="E133" s="4">
        <v>6.57</v>
      </c>
      <c r="F133" s="4">
        <v>2.5</v>
      </c>
      <c r="G133" s="4">
        <v>700</v>
      </c>
      <c r="H133" s="4"/>
      <c r="J133" s="4">
        <v>257</v>
      </c>
    </row>
    <row r="134" spans="1:11" x14ac:dyDescent="0.2">
      <c r="A134" s="4" t="s">
        <v>195</v>
      </c>
      <c r="B134" s="4">
        <v>239</v>
      </c>
      <c r="C134" s="4">
        <v>1527</v>
      </c>
      <c r="D134" s="4">
        <v>6.55</v>
      </c>
      <c r="E134" s="4">
        <v>5.47</v>
      </c>
      <c r="F134" s="4">
        <v>2.36</v>
      </c>
      <c r="G134" s="4">
        <v>431</v>
      </c>
      <c r="H134" s="4"/>
      <c r="J134" s="4">
        <v>33.6</v>
      </c>
    </row>
    <row r="135" spans="1:11" x14ac:dyDescent="0.2">
      <c r="A135" s="4" t="s">
        <v>196</v>
      </c>
      <c r="B135" s="4">
        <v>337</v>
      </c>
      <c r="C135" s="4"/>
      <c r="D135" s="4">
        <v>7.32</v>
      </c>
      <c r="E135" s="4">
        <v>6.48</v>
      </c>
      <c r="F135" s="4"/>
      <c r="G135" s="4">
        <v>855</v>
      </c>
      <c r="H135" s="4"/>
      <c r="J135" s="4">
        <v>235</v>
      </c>
    </row>
    <row r="136" spans="1:11" x14ac:dyDescent="0.2">
      <c r="A136" s="4" t="s">
        <v>197</v>
      </c>
      <c r="B136" s="4">
        <v>96</v>
      </c>
      <c r="C136" s="4"/>
      <c r="D136" s="4">
        <v>7.92</v>
      </c>
      <c r="E136" s="4">
        <v>5.33</v>
      </c>
      <c r="F136" s="4">
        <v>1.88</v>
      </c>
      <c r="G136" s="4">
        <v>265</v>
      </c>
      <c r="H136" s="4"/>
      <c r="J136" s="4">
        <v>35.799999999999997</v>
      </c>
    </row>
    <row r="137" spans="1:11" x14ac:dyDescent="0.2">
      <c r="A137" s="4" t="s">
        <v>198</v>
      </c>
      <c r="B137" s="4">
        <v>110</v>
      </c>
      <c r="C137" s="4"/>
      <c r="D137" s="4">
        <v>11.2</v>
      </c>
      <c r="E137" s="4">
        <v>5.9</v>
      </c>
      <c r="F137" s="4"/>
      <c r="G137" s="4">
        <v>235</v>
      </c>
      <c r="H137" s="4"/>
      <c r="J137" s="4">
        <v>15.3</v>
      </c>
    </row>
    <row r="138" spans="1:11" x14ac:dyDescent="0.2">
      <c r="A138" s="4" t="s">
        <v>199</v>
      </c>
      <c r="B138" s="4">
        <v>152</v>
      </c>
      <c r="C138" s="4">
        <v>277</v>
      </c>
      <c r="D138" s="4">
        <v>8.23</v>
      </c>
      <c r="E138" s="4">
        <v>4.95</v>
      </c>
      <c r="F138" s="4">
        <v>1.52</v>
      </c>
      <c r="G138" s="4">
        <v>272</v>
      </c>
      <c r="H138" s="4"/>
      <c r="J138" s="4">
        <v>37</v>
      </c>
    </row>
    <row r="139" spans="1:11" x14ac:dyDescent="0.2">
      <c r="A139" s="4" t="s">
        <v>200</v>
      </c>
      <c r="B139" s="4">
        <v>222</v>
      </c>
      <c r="C139" s="4"/>
      <c r="D139" s="4">
        <v>7.62</v>
      </c>
      <c r="E139" s="4">
        <v>5.79</v>
      </c>
      <c r="F139" s="4">
        <v>1.6</v>
      </c>
      <c r="G139" s="4">
        <v>450</v>
      </c>
      <c r="H139" s="4"/>
      <c r="J139" s="4"/>
    </row>
    <row r="140" spans="1:11" x14ac:dyDescent="0.2">
      <c r="A140" s="4" t="s">
        <v>201</v>
      </c>
      <c r="B140" s="4">
        <v>133</v>
      </c>
      <c r="C140" s="4"/>
      <c r="D140" s="4">
        <v>8.9700000000000006</v>
      </c>
      <c r="E140" s="4">
        <v>4.74</v>
      </c>
      <c r="F140" s="4">
        <v>2.62</v>
      </c>
      <c r="G140" s="4">
        <v>231</v>
      </c>
      <c r="H140" s="4"/>
      <c r="J140" s="4">
        <v>37.200000000000003</v>
      </c>
    </row>
    <row r="141" spans="1:11" x14ac:dyDescent="0.2">
      <c r="A141" s="4" t="s">
        <v>202</v>
      </c>
      <c r="B141" s="4">
        <v>241</v>
      </c>
      <c r="C141" s="4">
        <v>1300</v>
      </c>
      <c r="D141" s="4">
        <v>7.5</v>
      </c>
      <c r="E141" s="4">
        <v>6.18</v>
      </c>
      <c r="F141" s="4">
        <v>1.44</v>
      </c>
      <c r="G141" s="4">
        <v>413</v>
      </c>
      <c r="H141" s="4"/>
      <c r="J141" s="4">
        <v>70</v>
      </c>
    </row>
    <row r="142" spans="1:11" x14ac:dyDescent="0.2">
      <c r="A142" s="4" t="s">
        <v>203</v>
      </c>
      <c r="B142" s="4">
        <v>291</v>
      </c>
      <c r="C142" s="4">
        <v>1111</v>
      </c>
      <c r="D142" s="4">
        <v>7.2</v>
      </c>
      <c r="E142" s="4">
        <v>6.35</v>
      </c>
      <c r="F142" s="4">
        <v>1.81</v>
      </c>
      <c r="G142" s="4">
        <v>420</v>
      </c>
      <c r="H142" s="4">
        <v>4572</v>
      </c>
      <c r="J142" s="4">
        <v>58.8</v>
      </c>
    </row>
    <row r="143" spans="1:11" x14ac:dyDescent="0.2">
      <c r="A143" s="4" t="s">
        <v>204</v>
      </c>
      <c r="B143" s="4">
        <v>176</v>
      </c>
      <c r="C143" s="4">
        <v>416</v>
      </c>
      <c r="D143" s="4">
        <v>5.49</v>
      </c>
      <c r="E143" s="4">
        <v>4.72</v>
      </c>
      <c r="F143" s="4">
        <v>1.85</v>
      </c>
      <c r="G143" s="4">
        <v>295</v>
      </c>
      <c r="H143" s="4"/>
      <c r="J143" s="4">
        <v>37.299999999999997</v>
      </c>
    </row>
    <row r="144" spans="1:11" x14ac:dyDescent="0.2">
      <c r="A144" s="4" t="s">
        <v>205</v>
      </c>
      <c r="B144" s="4">
        <v>190</v>
      </c>
      <c r="C144" s="4">
        <v>1598</v>
      </c>
      <c r="D144" s="4">
        <v>12.55</v>
      </c>
      <c r="E144" s="4">
        <v>5.1100000000000003</v>
      </c>
      <c r="F144" s="4">
        <v>1.58</v>
      </c>
      <c r="G144" s="4">
        <v>400</v>
      </c>
      <c r="H144" s="4">
        <v>7000</v>
      </c>
      <c r="J144" s="4">
        <v>38.799999999999997</v>
      </c>
    </row>
    <row r="145" spans="1:11" x14ac:dyDescent="0.2">
      <c r="A145" s="4" t="s">
        <v>206</v>
      </c>
      <c r="B145" s="4">
        <v>244</v>
      </c>
      <c r="C145" s="4"/>
      <c r="D145" s="4">
        <v>9.91</v>
      </c>
      <c r="E145" s="4">
        <v>7.32</v>
      </c>
      <c r="F145" s="4">
        <v>1.96</v>
      </c>
      <c r="G145" s="4"/>
      <c r="H145" s="4"/>
      <c r="J145" s="4">
        <v>73.5</v>
      </c>
    </row>
    <row r="146" spans="1:11" x14ac:dyDescent="0.2">
      <c r="A146" s="4" t="s">
        <v>207</v>
      </c>
      <c r="B146" s="4">
        <v>204</v>
      </c>
      <c r="C146" s="4">
        <v>722</v>
      </c>
      <c r="D146" s="4">
        <v>8.76</v>
      </c>
      <c r="E146" s="4">
        <v>6.86</v>
      </c>
      <c r="F146" s="4">
        <v>2.67</v>
      </c>
      <c r="G146" s="4">
        <v>559</v>
      </c>
      <c r="H146" s="4">
        <v>3960</v>
      </c>
      <c r="J146" s="4">
        <v>73.5</v>
      </c>
      <c r="K146" s="3">
        <v>0.24</v>
      </c>
    </row>
    <row r="147" spans="1:11" x14ac:dyDescent="0.2">
      <c r="A147" s="4" t="s">
        <v>208</v>
      </c>
      <c r="B147" s="4">
        <v>165</v>
      </c>
      <c r="C147" s="4">
        <v>353</v>
      </c>
      <c r="D147" s="4">
        <v>10.73</v>
      </c>
      <c r="E147" s="4">
        <v>6.82</v>
      </c>
      <c r="F147" s="4">
        <v>2.0299999999999998</v>
      </c>
      <c r="G147" s="4">
        <v>553</v>
      </c>
      <c r="H147" s="4">
        <v>3505</v>
      </c>
      <c r="J147" s="4">
        <v>48.5</v>
      </c>
    </row>
    <row r="148" spans="1:11" x14ac:dyDescent="0.2">
      <c r="A148" s="4" t="s">
        <v>209</v>
      </c>
      <c r="B148" s="4">
        <v>309</v>
      </c>
      <c r="C148" s="4">
        <v>650</v>
      </c>
      <c r="D148" s="4">
        <v>7.32</v>
      </c>
      <c r="E148" s="4">
        <v>6.71</v>
      </c>
      <c r="F148" s="4">
        <v>1.88</v>
      </c>
      <c r="G148" s="4">
        <v>463</v>
      </c>
      <c r="H148" s="4"/>
      <c r="J148" s="4">
        <v>149</v>
      </c>
    </row>
    <row r="149" spans="1:11" x14ac:dyDescent="0.2">
      <c r="A149" s="4" t="s">
        <v>210</v>
      </c>
      <c r="B149" s="4">
        <v>241</v>
      </c>
      <c r="C149" s="4">
        <v>964</v>
      </c>
      <c r="D149" s="4">
        <v>7.32</v>
      </c>
      <c r="E149" s="4">
        <v>7.16</v>
      </c>
      <c r="F149" s="4">
        <v>2.79</v>
      </c>
      <c r="G149" s="4">
        <v>658</v>
      </c>
      <c r="H149" s="4">
        <v>4875</v>
      </c>
      <c r="J149" s="4">
        <v>73.5</v>
      </c>
    </row>
    <row r="150" spans="1:11" x14ac:dyDescent="0.2">
      <c r="A150" s="4" t="s">
        <v>211</v>
      </c>
      <c r="B150" s="4">
        <v>537</v>
      </c>
      <c r="C150" s="4">
        <v>1520</v>
      </c>
      <c r="D150" s="4">
        <v>8.69</v>
      </c>
      <c r="E150" s="4">
        <v>7.84</v>
      </c>
      <c r="F150" s="4">
        <v>2.87</v>
      </c>
      <c r="G150" s="4">
        <v>1497</v>
      </c>
      <c r="H150" s="4">
        <v>10670</v>
      </c>
      <c r="J150" s="4">
        <v>540</v>
      </c>
    </row>
    <row r="151" spans="1:11" x14ac:dyDescent="0.2">
      <c r="A151" s="4" t="s">
        <v>212</v>
      </c>
      <c r="B151" s="4">
        <v>300</v>
      </c>
      <c r="C151" s="4">
        <v>800</v>
      </c>
      <c r="D151" s="4">
        <v>7.94</v>
      </c>
      <c r="E151" s="4">
        <v>7.18</v>
      </c>
      <c r="F151" s="4">
        <v>2.41</v>
      </c>
      <c r="G151" s="4">
        <v>472.5</v>
      </c>
      <c r="H151" s="4"/>
      <c r="J151" s="4">
        <v>73.5</v>
      </c>
    </row>
    <row r="152" spans="1:11" x14ac:dyDescent="0.2">
      <c r="A152" s="4" t="s">
        <v>213</v>
      </c>
      <c r="B152" s="4">
        <v>435</v>
      </c>
      <c r="C152" s="4">
        <v>1498</v>
      </c>
      <c r="D152" s="4">
        <v>8</v>
      </c>
      <c r="E152" s="4">
        <v>5.1100000000000003</v>
      </c>
      <c r="F152" s="4">
        <v>2.4</v>
      </c>
      <c r="G152" s="4">
        <v>500</v>
      </c>
      <c r="H152" s="4"/>
      <c r="J152" s="4">
        <v>73.5</v>
      </c>
    </row>
    <row r="153" spans="1:11" x14ac:dyDescent="0.2">
      <c r="A153" s="4" t="s">
        <v>214</v>
      </c>
      <c r="B153" s="4">
        <v>89</v>
      </c>
      <c r="C153" s="4"/>
      <c r="D153" s="4">
        <v>8.08</v>
      </c>
      <c r="E153" s="4">
        <v>5.05</v>
      </c>
      <c r="F153" s="4">
        <v>2.0299999999999998</v>
      </c>
      <c r="G153" s="4">
        <v>240</v>
      </c>
      <c r="H153" s="4"/>
      <c r="J153" s="4">
        <v>16.399999999999999</v>
      </c>
    </row>
    <row r="154" spans="1:11" x14ac:dyDescent="0.2">
      <c r="A154" s="4" t="s">
        <v>215</v>
      </c>
      <c r="B154" s="4">
        <v>93</v>
      </c>
      <c r="C154" s="4">
        <v>281</v>
      </c>
      <c r="D154" s="4">
        <v>7.98</v>
      </c>
      <c r="E154" s="4">
        <v>5.18</v>
      </c>
      <c r="F154" s="4">
        <v>1.57</v>
      </c>
      <c r="G154" s="4">
        <v>227</v>
      </c>
      <c r="H154" s="4"/>
      <c r="J154" s="4">
        <v>19</v>
      </c>
    </row>
    <row r="155" spans="1:11" x14ac:dyDescent="0.2">
      <c r="A155" s="4" t="s">
        <v>216</v>
      </c>
      <c r="B155" s="4">
        <v>193</v>
      </c>
      <c r="C155" s="4">
        <v>718</v>
      </c>
      <c r="D155" s="4">
        <v>9.31</v>
      </c>
      <c r="E155" s="4">
        <v>6.39</v>
      </c>
      <c r="F155" s="4">
        <v>2.0299999999999998</v>
      </c>
      <c r="G155" s="4">
        <v>450</v>
      </c>
      <c r="H155" s="4">
        <v>4400</v>
      </c>
      <c r="J155" s="4">
        <v>73.5</v>
      </c>
    </row>
    <row r="156" spans="1:11" x14ac:dyDescent="0.2">
      <c r="A156" s="4" t="s">
        <v>217</v>
      </c>
      <c r="B156" s="4">
        <v>185</v>
      </c>
      <c r="C156" s="4">
        <v>450</v>
      </c>
      <c r="D156" s="4">
        <v>7.35</v>
      </c>
      <c r="E156" s="4">
        <v>6.05</v>
      </c>
      <c r="F156" s="4">
        <v>2.63</v>
      </c>
      <c r="G156" s="4"/>
      <c r="H156" s="4">
        <v>2000</v>
      </c>
      <c r="J156" s="4">
        <v>116</v>
      </c>
    </row>
    <row r="157" spans="1:11" x14ac:dyDescent="0.2">
      <c r="A157" s="4" t="s">
        <v>218</v>
      </c>
      <c r="B157" s="4">
        <v>383</v>
      </c>
      <c r="C157" s="4">
        <v>972</v>
      </c>
      <c r="D157" s="4">
        <v>6.71</v>
      </c>
      <c r="E157" s="4">
        <v>5.99</v>
      </c>
      <c r="F157" s="4">
        <v>2.97</v>
      </c>
      <c r="G157" s="4">
        <v>1043</v>
      </c>
      <c r="H157" s="4"/>
      <c r="J157" s="4">
        <v>265</v>
      </c>
    </row>
    <row r="158" spans="1:11" x14ac:dyDescent="0.2">
      <c r="A158" s="4" t="s">
        <v>219</v>
      </c>
      <c r="B158" s="4">
        <v>305</v>
      </c>
      <c r="C158" s="4">
        <v>364</v>
      </c>
      <c r="D158" s="4">
        <v>6.48</v>
      </c>
      <c r="E158" s="4">
        <v>5.61</v>
      </c>
      <c r="F158" s="4">
        <v>2.08</v>
      </c>
      <c r="G158" s="4">
        <v>431</v>
      </c>
      <c r="H158" s="4"/>
      <c r="J158" s="4">
        <v>34</v>
      </c>
    </row>
    <row r="159" spans="1:11" x14ac:dyDescent="0.2">
      <c r="A159" s="4" t="s">
        <v>220</v>
      </c>
      <c r="B159" s="4">
        <v>130</v>
      </c>
      <c r="C159" s="4">
        <v>320</v>
      </c>
      <c r="D159" s="4">
        <v>7.92</v>
      </c>
      <c r="E159" s="4">
        <v>6.18</v>
      </c>
      <c r="F159" s="4">
        <v>2.38</v>
      </c>
      <c r="G159" s="4">
        <v>450</v>
      </c>
      <c r="H159" s="4"/>
      <c r="J159" s="4">
        <v>48</v>
      </c>
      <c r="K159" s="3">
        <v>1.3</v>
      </c>
    </row>
    <row r="160" spans="1:11" x14ac:dyDescent="0.2">
      <c r="A160" s="4" t="s">
        <v>221</v>
      </c>
      <c r="B160" s="4">
        <v>483</v>
      </c>
      <c r="C160" s="4">
        <v>1929</v>
      </c>
      <c r="D160" s="4">
        <v>7.77</v>
      </c>
      <c r="E160" s="4">
        <v>6.71</v>
      </c>
      <c r="F160" s="4">
        <v>2.54</v>
      </c>
      <c r="G160" s="4">
        <v>998</v>
      </c>
      <c r="H160" s="4">
        <v>5485</v>
      </c>
      <c r="J160" s="4">
        <v>149</v>
      </c>
    </row>
    <row r="161" spans="1:11" x14ac:dyDescent="0.2">
      <c r="A161" s="4" t="s">
        <v>165</v>
      </c>
      <c r="B161" s="4">
        <v>250</v>
      </c>
      <c r="C161" s="4"/>
      <c r="D161" s="4">
        <v>8.84</v>
      </c>
      <c r="E161" s="4">
        <v>6.9</v>
      </c>
      <c r="F161" s="4">
        <v>2.02</v>
      </c>
      <c r="G161" s="4">
        <v>645</v>
      </c>
      <c r="H161" s="4"/>
      <c r="J161" s="4">
        <v>73.5</v>
      </c>
    </row>
    <row r="162" spans="1:11" x14ac:dyDescent="0.2">
      <c r="A162" s="4" t="s">
        <v>222</v>
      </c>
      <c r="B162" s="4">
        <v>350</v>
      </c>
      <c r="C162" s="4">
        <v>1190</v>
      </c>
      <c r="D162" s="4">
        <v>7.87</v>
      </c>
      <c r="E162" s="4">
        <v>6.56</v>
      </c>
      <c r="F162" s="4">
        <v>2.2999999999999998</v>
      </c>
      <c r="G162" s="4">
        <v>748</v>
      </c>
      <c r="H162" s="4">
        <v>5000</v>
      </c>
      <c r="J162" s="4">
        <v>134</v>
      </c>
    </row>
    <row r="163" spans="1:11" x14ac:dyDescent="0.2">
      <c r="A163" s="4" t="s">
        <v>223</v>
      </c>
      <c r="B163" s="4">
        <v>278</v>
      </c>
      <c r="C163" s="4"/>
      <c r="D163" s="4">
        <v>7.32</v>
      </c>
      <c r="E163" s="4">
        <v>6.71</v>
      </c>
      <c r="F163" s="4"/>
      <c r="G163" s="4">
        <v>816</v>
      </c>
      <c r="H163" s="4"/>
      <c r="J163" s="4">
        <v>134</v>
      </c>
    </row>
    <row r="164" spans="1:11" x14ac:dyDescent="0.2">
      <c r="A164" s="4" t="s">
        <v>224</v>
      </c>
      <c r="B164" s="4">
        <v>232</v>
      </c>
      <c r="C164" s="4"/>
      <c r="D164" s="4">
        <v>8.5299999999999994</v>
      </c>
      <c r="E164" s="4">
        <v>6.25</v>
      </c>
      <c r="F164" s="4">
        <v>2.13</v>
      </c>
      <c r="G164" s="4">
        <v>600</v>
      </c>
      <c r="H164" s="4"/>
      <c r="J164" s="4">
        <v>59.7</v>
      </c>
    </row>
    <row r="165" spans="1:11" x14ac:dyDescent="0.2">
      <c r="A165" s="4" t="s">
        <v>225</v>
      </c>
      <c r="B165" s="4">
        <v>259</v>
      </c>
      <c r="C165" s="4">
        <v>1066</v>
      </c>
      <c r="D165" s="4">
        <v>8.27</v>
      </c>
      <c r="E165" s="4">
        <v>5.84</v>
      </c>
      <c r="F165" s="4">
        <v>1.32</v>
      </c>
      <c r="G165" s="4">
        <v>621</v>
      </c>
      <c r="H165" s="4"/>
      <c r="J165" s="4">
        <v>59.6</v>
      </c>
      <c r="K165" s="3">
        <v>0.312</v>
      </c>
    </row>
    <row r="166" spans="1:11" x14ac:dyDescent="0.2">
      <c r="A166" s="4" t="s">
        <v>226</v>
      </c>
      <c r="B166" s="4">
        <v>185</v>
      </c>
      <c r="C166" s="4">
        <v>563</v>
      </c>
      <c r="D166" s="4">
        <v>8.5500000000000007</v>
      </c>
      <c r="E166" s="4">
        <v>6.85</v>
      </c>
      <c r="F166" s="4">
        <v>2.1800000000000002</v>
      </c>
      <c r="G166" s="4">
        <v>569</v>
      </c>
      <c r="H166" s="4">
        <v>3660</v>
      </c>
      <c r="J166" s="4">
        <v>73.5</v>
      </c>
    </row>
    <row r="167" spans="1:11" x14ac:dyDescent="0.2">
      <c r="A167" s="4" t="s">
        <v>227</v>
      </c>
      <c r="B167" s="4">
        <v>220</v>
      </c>
      <c r="C167" s="4">
        <v>740</v>
      </c>
      <c r="D167" s="4">
        <v>9.6</v>
      </c>
      <c r="E167" s="4">
        <v>6.4</v>
      </c>
      <c r="F167" s="4">
        <v>2.4900000000000002</v>
      </c>
      <c r="G167" s="4">
        <v>450</v>
      </c>
      <c r="H167" s="4">
        <v>4265</v>
      </c>
      <c r="J167" s="4">
        <v>59.6</v>
      </c>
      <c r="K167" s="3">
        <v>0.216</v>
      </c>
    </row>
    <row r="168" spans="1:11" x14ac:dyDescent="0.2">
      <c r="A168" s="4" t="s">
        <v>228</v>
      </c>
      <c r="B168" s="4">
        <v>174</v>
      </c>
      <c r="C168" s="4"/>
      <c r="D168" s="4">
        <v>9.35</v>
      </c>
      <c r="E168" s="4">
        <v>6.4</v>
      </c>
      <c r="F168" s="4">
        <v>2.2000000000000002</v>
      </c>
      <c r="G168" s="4">
        <v>450</v>
      </c>
      <c r="H168" s="4"/>
      <c r="J168" s="4">
        <v>73.5</v>
      </c>
      <c r="K168" s="3">
        <v>0.16</v>
      </c>
    </row>
    <row r="169" spans="1:11" x14ac:dyDescent="0.2">
      <c r="A169" s="4" t="s">
        <v>229</v>
      </c>
      <c r="B169" s="4">
        <v>194</v>
      </c>
      <c r="C169" s="4"/>
      <c r="D169" s="4">
        <v>9.33</v>
      </c>
      <c r="E169" s="4">
        <v>6.21</v>
      </c>
      <c r="F169" s="4">
        <v>2.41</v>
      </c>
      <c r="G169" s="4">
        <v>580</v>
      </c>
      <c r="H169" s="4"/>
      <c r="J169" s="4">
        <v>59.6</v>
      </c>
      <c r="K169" s="3">
        <v>0.24</v>
      </c>
    </row>
    <row r="170" spans="1:11" x14ac:dyDescent="0.2">
      <c r="A170" s="4" t="s">
        <v>230</v>
      </c>
      <c r="B170" s="4">
        <v>217</v>
      </c>
      <c r="C170" s="4">
        <v>1000</v>
      </c>
      <c r="D170" s="4">
        <v>9.6999999999999993</v>
      </c>
      <c r="E170" s="4">
        <v>6.5</v>
      </c>
      <c r="F170" s="4">
        <v>2.2000000000000002</v>
      </c>
      <c r="G170" s="4">
        <v>750</v>
      </c>
      <c r="H170" s="4"/>
      <c r="J170" s="4">
        <v>73.5</v>
      </c>
    </row>
    <row r="171" spans="1:11" x14ac:dyDescent="0.2">
      <c r="A171" s="4" t="s">
        <v>231</v>
      </c>
      <c r="B171" s="4">
        <v>152</v>
      </c>
      <c r="C171" s="4"/>
      <c r="D171" s="4">
        <v>9.69</v>
      </c>
      <c r="E171" s="4">
        <v>5.71</v>
      </c>
      <c r="F171" s="4">
        <v>2.2599999999999998</v>
      </c>
      <c r="G171" s="4">
        <v>450</v>
      </c>
      <c r="H171" s="4"/>
      <c r="J171" s="4">
        <v>59.6</v>
      </c>
    </row>
    <row r="172" spans="1:11" x14ac:dyDescent="0.2">
      <c r="A172" s="4" t="s">
        <v>172</v>
      </c>
      <c r="B172" s="4">
        <v>198</v>
      </c>
      <c r="C172" s="4">
        <v>1379</v>
      </c>
      <c r="D172" s="4">
        <v>9.32</v>
      </c>
      <c r="E172" s="4">
        <v>6.47</v>
      </c>
      <c r="F172" s="4">
        <v>2.2799999999999998</v>
      </c>
      <c r="G172" s="4">
        <v>472.5</v>
      </c>
      <c r="H172" s="4">
        <v>4570</v>
      </c>
      <c r="J172" s="4">
        <v>73.5</v>
      </c>
    </row>
    <row r="173" spans="1:11" x14ac:dyDescent="0.2">
      <c r="A173" s="4" t="s">
        <v>232</v>
      </c>
      <c r="B173" s="4">
        <v>226</v>
      </c>
      <c r="C173" s="4">
        <v>689</v>
      </c>
      <c r="D173" s="4">
        <v>8.8000000000000007</v>
      </c>
      <c r="E173" s="4">
        <v>6.93</v>
      </c>
      <c r="F173" s="4">
        <v>2.46</v>
      </c>
      <c r="G173" s="4">
        <v>600</v>
      </c>
      <c r="H173" s="4">
        <v>4265</v>
      </c>
      <c r="J173" s="4">
        <v>73.5</v>
      </c>
    </row>
    <row r="174" spans="1:11" x14ac:dyDescent="0.2">
      <c r="A174" s="4" t="s">
        <v>233</v>
      </c>
      <c r="B174" s="4">
        <v>157</v>
      </c>
      <c r="C174" s="4"/>
      <c r="D174" s="4">
        <v>8.9</v>
      </c>
      <c r="E174" s="4">
        <v>6.5</v>
      </c>
      <c r="F174" s="4"/>
      <c r="G174" s="4">
        <v>544</v>
      </c>
      <c r="H174" s="4"/>
      <c r="J174" s="4">
        <v>58.8</v>
      </c>
    </row>
    <row r="175" spans="1:11" x14ac:dyDescent="0.2">
      <c r="A175" s="4" t="s">
        <v>234</v>
      </c>
      <c r="B175" s="4">
        <v>161</v>
      </c>
      <c r="C175" s="4">
        <v>401</v>
      </c>
      <c r="D175" s="4">
        <v>8.69</v>
      </c>
      <c r="E175" s="4">
        <v>6.02</v>
      </c>
      <c r="F175" s="4">
        <v>1.85</v>
      </c>
      <c r="G175" s="4">
        <v>522</v>
      </c>
      <c r="H175" s="4"/>
      <c r="J175" s="4">
        <v>59.6</v>
      </c>
      <c r="K175" s="3">
        <v>0.25</v>
      </c>
    </row>
    <row r="176" spans="1:11" x14ac:dyDescent="0.2">
      <c r="A176" s="4" t="s">
        <v>235</v>
      </c>
      <c r="B176" s="4">
        <v>135</v>
      </c>
      <c r="C176" s="4">
        <v>1000</v>
      </c>
      <c r="D176" s="4">
        <v>10.01</v>
      </c>
      <c r="E176" s="4">
        <v>6.44</v>
      </c>
      <c r="F176" s="4">
        <v>2.84</v>
      </c>
      <c r="G176" s="4">
        <v>420</v>
      </c>
      <c r="H176" s="4"/>
      <c r="J176" s="4">
        <v>44.7</v>
      </c>
    </row>
    <row r="177" spans="1:11" x14ac:dyDescent="0.2">
      <c r="A177" s="4" t="s">
        <v>236</v>
      </c>
      <c r="B177" s="4">
        <v>241</v>
      </c>
      <c r="C177" s="4">
        <v>885</v>
      </c>
      <c r="D177" s="4">
        <v>6.71</v>
      </c>
      <c r="E177" s="4">
        <v>5.51</v>
      </c>
      <c r="F177" s="4">
        <v>1.42</v>
      </c>
      <c r="G177" s="4">
        <v>431</v>
      </c>
      <c r="H177" s="4">
        <v>4875</v>
      </c>
      <c r="J177" s="4">
        <v>59.7</v>
      </c>
      <c r="K177" s="3">
        <v>3.18</v>
      </c>
    </row>
    <row r="178" spans="1:11" x14ac:dyDescent="0.2">
      <c r="A178" s="4" t="s">
        <v>237</v>
      </c>
      <c r="B178" s="4">
        <v>209</v>
      </c>
      <c r="C178" s="4"/>
      <c r="D178" s="4">
        <v>8.7200000000000006</v>
      </c>
      <c r="E178" s="4">
        <v>6.25</v>
      </c>
      <c r="F178" s="4">
        <v>2.25</v>
      </c>
      <c r="G178" s="4">
        <v>450</v>
      </c>
      <c r="H178" s="4"/>
      <c r="J178" s="4">
        <v>59.6</v>
      </c>
    </row>
    <row r="179" spans="1:11" x14ac:dyDescent="0.2">
      <c r="A179" s="4" t="s">
        <v>238</v>
      </c>
      <c r="B179" s="4">
        <v>185</v>
      </c>
      <c r="C179" s="4"/>
      <c r="D179" s="4">
        <v>9.49</v>
      </c>
      <c r="E179" s="4">
        <v>6.02</v>
      </c>
      <c r="F179" s="4">
        <v>1.85</v>
      </c>
      <c r="G179" s="4">
        <v>480</v>
      </c>
      <c r="H179" s="4"/>
      <c r="J179" s="4">
        <v>59.6</v>
      </c>
    </row>
    <row r="180" spans="1:11" x14ac:dyDescent="0.2">
      <c r="A180" s="4" t="s">
        <v>167</v>
      </c>
      <c r="B180" s="4">
        <v>180</v>
      </c>
      <c r="C180" s="4">
        <v>800</v>
      </c>
      <c r="D180" s="4">
        <v>8.0299999999999994</v>
      </c>
      <c r="E180" s="4">
        <v>6.4</v>
      </c>
      <c r="F180" s="4">
        <v>2.15</v>
      </c>
      <c r="G180" s="4">
        <v>600</v>
      </c>
      <c r="H180" s="4"/>
      <c r="J180" s="4">
        <v>59.6</v>
      </c>
      <c r="K180" s="3">
        <v>0.6</v>
      </c>
    </row>
    <row r="181" spans="1:11" x14ac:dyDescent="0.2">
      <c r="A181" s="4" t="s">
        <v>239</v>
      </c>
      <c r="B181" s="4">
        <v>215</v>
      </c>
      <c r="C181" s="4">
        <v>648</v>
      </c>
      <c r="D181" s="4">
        <v>8.5500000000000007</v>
      </c>
      <c r="E181" s="4">
        <v>6.87</v>
      </c>
      <c r="F181" s="4">
        <v>2.71</v>
      </c>
      <c r="G181" s="4">
        <v>472.5</v>
      </c>
      <c r="H181" s="4">
        <v>5600</v>
      </c>
      <c r="J181" s="4">
        <v>73.5</v>
      </c>
    </row>
    <row r="182" spans="1:11" x14ac:dyDescent="0.2">
      <c r="A182" s="4" t="s">
        <v>240</v>
      </c>
      <c r="B182" s="4">
        <v>209</v>
      </c>
      <c r="C182" s="4">
        <v>750</v>
      </c>
      <c r="D182" s="4">
        <v>9.4499999999999993</v>
      </c>
      <c r="E182" s="4">
        <v>6.38</v>
      </c>
      <c r="F182" s="4">
        <v>2.02</v>
      </c>
      <c r="G182" s="4">
        <v>472.5</v>
      </c>
      <c r="H182" s="4"/>
      <c r="J182" s="4">
        <v>59.6</v>
      </c>
    </row>
    <row r="183" spans="1:11" x14ac:dyDescent="0.2">
      <c r="A183" s="4" t="s">
        <v>241</v>
      </c>
      <c r="B183" s="4">
        <v>370</v>
      </c>
      <c r="C183" s="4">
        <v>1448</v>
      </c>
      <c r="D183" s="4">
        <v>8.5299999999999994</v>
      </c>
      <c r="E183" s="4">
        <v>5.79</v>
      </c>
      <c r="F183" s="4">
        <v>1.83</v>
      </c>
      <c r="G183" s="4">
        <v>544</v>
      </c>
      <c r="H183" s="4"/>
      <c r="J183" s="4">
        <v>74.599999999999994</v>
      </c>
    </row>
    <row r="184" spans="1:11" x14ac:dyDescent="0.2">
      <c r="A184" s="4" t="s">
        <v>242</v>
      </c>
      <c r="B184" s="4">
        <v>260</v>
      </c>
      <c r="C184" s="4">
        <v>1400</v>
      </c>
      <c r="D184" s="4">
        <v>12</v>
      </c>
      <c r="E184" s="4">
        <v>5</v>
      </c>
      <c r="F184" s="4">
        <v>2.2999999999999998</v>
      </c>
      <c r="G184" s="4">
        <v>530</v>
      </c>
      <c r="H184" s="4"/>
      <c r="J184" s="4">
        <v>67.099999999999994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92D050"/>
  </sheetPr>
  <dimension ref="A1:K12"/>
  <sheetViews>
    <sheetView zoomScale="80" zoomScaleNormal="80" zoomScalePageLayoutView="80" workbookViewId="0">
      <selection sqref="A1:J1"/>
    </sheetView>
  </sheetViews>
  <sheetFormatPr defaultColWidth="8.85546875" defaultRowHeight="15" x14ac:dyDescent="0.2"/>
  <cols>
    <col min="1" max="1" width="32.42578125" style="3" bestFit="1" customWidth="1"/>
    <col min="2" max="2" width="29.140625" style="3" bestFit="1" customWidth="1"/>
    <col min="3" max="3" width="14.28515625" style="3" bestFit="1" customWidth="1"/>
    <col min="4" max="4" width="17" style="3" bestFit="1" customWidth="1"/>
    <col min="5" max="5" width="13.42578125" style="3" bestFit="1" customWidth="1"/>
    <col min="6" max="6" width="12.85546875" style="3" bestFit="1" customWidth="1"/>
    <col min="7" max="7" width="13.42578125" style="3" bestFit="1" customWidth="1"/>
    <col min="8" max="8" width="25" style="3" bestFit="1" customWidth="1"/>
    <col min="9" max="9" width="27.28515625" style="3" bestFit="1" customWidth="1"/>
    <col min="10" max="10" width="31.28515625" style="3" bestFit="1" customWidth="1"/>
    <col min="11" max="16384" width="8.85546875" style="3"/>
  </cols>
  <sheetData>
    <row r="1" spans="1:1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19</v>
      </c>
      <c r="I1" s="2" t="s">
        <v>7</v>
      </c>
      <c r="J1" s="2" t="s">
        <v>8</v>
      </c>
    </row>
    <row r="2" spans="1:11" x14ac:dyDescent="0.2">
      <c r="A2" s="1" t="s">
        <v>9</v>
      </c>
      <c r="B2" s="1">
        <v>160</v>
      </c>
      <c r="C2" s="1"/>
      <c r="D2" s="1">
        <v>9.5</v>
      </c>
      <c r="E2" s="1">
        <v>6.67</v>
      </c>
      <c r="F2" s="1"/>
      <c r="G2" s="1">
        <v>550</v>
      </c>
      <c r="H2" s="1"/>
      <c r="I2" s="1">
        <v>60</v>
      </c>
      <c r="J2" s="1">
        <v>60</v>
      </c>
      <c r="K2" s="1"/>
    </row>
    <row r="3" spans="1:11" s="6" customFormat="1" x14ac:dyDescent="0.2">
      <c r="A3" s="1" t="s">
        <v>12</v>
      </c>
      <c r="B3" s="1">
        <v>148</v>
      </c>
      <c r="C3" s="1">
        <v>150</v>
      </c>
      <c r="D3" s="1">
        <v>14.5</v>
      </c>
      <c r="E3" s="1">
        <v>6.6</v>
      </c>
      <c r="F3" s="1">
        <v>2.46</v>
      </c>
      <c r="G3" s="1">
        <v>490</v>
      </c>
      <c r="H3" s="1">
        <v>1500</v>
      </c>
      <c r="I3" s="1">
        <v>30</v>
      </c>
      <c r="J3" s="1">
        <v>30</v>
      </c>
      <c r="K3" s="1"/>
    </row>
    <row r="4" spans="1:11" x14ac:dyDescent="0.2">
      <c r="A4" s="1" t="s">
        <v>13</v>
      </c>
      <c r="B4" s="1">
        <v>407</v>
      </c>
      <c r="C4" s="1">
        <v>1564</v>
      </c>
      <c r="D4" s="1">
        <v>9.6</v>
      </c>
      <c r="E4" s="1">
        <v>6.34</v>
      </c>
      <c r="F4" s="1">
        <v>2.7</v>
      </c>
      <c r="G4" s="1">
        <v>750</v>
      </c>
      <c r="H4" s="1">
        <v>4115</v>
      </c>
      <c r="I4" s="1">
        <v>100</v>
      </c>
      <c r="J4" s="1">
        <v>70</v>
      </c>
      <c r="K4" s="1"/>
    </row>
    <row r="5" spans="1:11" x14ac:dyDescent="0.2">
      <c r="A5" s="1" t="s">
        <v>14</v>
      </c>
      <c r="B5" s="1">
        <v>159</v>
      </c>
      <c r="C5" s="1"/>
      <c r="D5" s="1">
        <v>8.6</v>
      </c>
      <c r="E5" s="1"/>
      <c r="F5" s="1"/>
      <c r="G5" s="1">
        <v>300</v>
      </c>
      <c r="H5" s="1"/>
      <c r="I5" s="1">
        <v>13.5</v>
      </c>
      <c r="J5" s="1">
        <v>14</v>
      </c>
      <c r="K5" s="1"/>
    </row>
    <row r="6" spans="1:11" x14ac:dyDescent="0.2">
      <c r="A6" s="1" t="s">
        <v>15</v>
      </c>
      <c r="B6" s="1">
        <v>120</v>
      </c>
      <c r="C6" s="1"/>
      <c r="D6" s="1">
        <v>13</v>
      </c>
      <c r="E6" s="1"/>
      <c r="F6" s="1"/>
      <c r="G6" s="1">
        <v>300</v>
      </c>
      <c r="H6" s="1"/>
      <c r="I6" s="1">
        <v>16</v>
      </c>
      <c r="J6" s="1">
        <v>16</v>
      </c>
      <c r="K6" s="1"/>
    </row>
    <row r="7" spans="1:11" x14ac:dyDescent="0.2">
      <c r="A7" s="1" t="s">
        <v>16</v>
      </c>
      <c r="B7" s="1">
        <v>100</v>
      </c>
      <c r="C7" s="1">
        <v>200</v>
      </c>
      <c r="D7" s="1">
        <v>13.8</v>
      </c>
      <c r="E7" s="1">
        <v>7.09</v>
      </c>
      <c r="F7" s="1">
        <v>2.57</v>
      </c>
      <c r="G7" s="1">
        <v>302</v>
      </c>
      <c r="H7" s="1"/>
      <c r="I7" s="1">
        <v>40</v>
      </c>
      <c r="J7" s="1">
        <v>40</v>
      </c>
      <c r="K7" s="1"/>
    </row>
    <row r="8" spans="1:11" x14ac:dyDescent="0.2">
      <c r="A8" s="1" t="s">
        <v>17</v>
      </c>
      <c r="B8" s="1">
        <v>222</v>
      </c>
      <c r="C8" s="1">
        <v>611</v>
      </c>
      <c r="D8" s="1">
        <v>7.93</v>
      </c>
      <c r="E8" s="1">
        <v>3.69</v>
      </c>
      <c r="F8" s="1">
        <v>1.81</v>
      </c>
      <c r="G8" s="1">
        <v>243</v>
      </c>
      <c r="H8" s="1"/>
      <c r="I8" s="1">
        <v>22.4</v>
      </c>
      <c r="J8" s="1">
        <v>22.4</v>
      </c>
      <c r="K8" s="1"/>
    </row>
    <row r="9" spans="1:11" x14ac:dyDescent="0.2">
      <c r="A9" s="1" t="s">
        <v>18</v>
      </c>
      <c r="B9" s="1">
        <v>220</v>
      </c>
      <c r="C9" s="1"/>
      <c r="D9" s="1">
        <v>9.6</v>
      </c>
      <c r="E9" s="1">
        <v>6.9</v>
      </c>
      <c r="F9" s="1">
        <v>2.0499999999999998</v>
      </c>
      <c r="G9" s="1">
        <v>600</v>
      </c>
      <c r="H9" s="1"/>
      <c r="I9" s="1">
        <v>80</v>
      </c>
      <c r="J9" s="1">
        <v>80</v>
      </c>
      <c r="K9" s="1"/>
    </row>
    <row r="10" spans="1:11" x14ac:dyDescent="0.2">
      <c r="A10" s="3" t="s">
        <v>471</v>
      </c>
      <c r="B10" s="3">
        <v>220</v>
      </c>
      <c r="C10" s="3">
        <v>160</v>
      </c>
      <c r="D10" s="3">
        <v>9.5</v>
      </c>
      <c r="E10" s="3">
        <v>6.67</v>
      </c>
      <c r="G10" s="3">
        <v>580</v>
      </c>
      <c r="I10" s="3">
        <v>60</v>
      </c>
      <c r="J10" s="3">
        <v>60</v>
      </c>
    </row>
    <row r="11" spans="1:1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K30"/>
  <sheetViews>
    <sheetView zoomScale="80" zoomScaleNormal="80" zoomScalePageLayoutView="80" workbookViewId="0">
      <selection activeCell="I14" sqref="I14"/>
    </sheetView>
  </sheetViews>
  <sheetFormatPr defaultColWidth="8.85546875" defaultRowHeight="15" x14ac:dyDescent="0.2"/>
  <cols>
    <col min="1" max="1" width="54.140625" style="3" bestFit="1" customWidth="1"/>
    <col min="2" max="2" width="29.140625" style="3" bestFit="1" customWidth="1"/>
    <col min="3" max="3" width="14.28515625" style="3" bestFit="1" customWidth="1"/>
    <col min="4" max="4" width="17" style="3" bestFit="1" customWidth="1"/>
    <col min="5" max="5" width="13.42578125" style="3" bestFit="1" customWidth="1"/>
    <col min="6" max="6" width="12.85546875" style="3" bestFit="1" customWidth="1"/>
    <col min="7" max="7" width="13.42578125" style="3" bestFit="1" customWidth="1"/>
    <col min="8" max="8" width="25" style="3" bestFit="1" customWidth="1"/>
    <col min="9" max="9" width="27.28515625" style="3" bestFit="1" customWidth="1"/>
    <col min="10" max="10" width="31.28515625" style="3" bestFit="1" customWidth="1"/>
    <col min="11" max="16384" width="8.85546875" style="3"/>
  </cols>
  <sheetData>
    <row r="1" spans="1:1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19</v>
      </c>
      <c r="I1" s="2" t="s">
        <v>7</v>
      </c>
      <c r="J1" s="2" t="s">
        <v>8</v>
      </c>
    </row>
    <row r="2" spans="1:11" x14ac:dyDescent="0.2">
      <c r="A2" s="4" t="s">
        <v>21</v>
      </c>
      <c r="B2" s="4">
        <v>417</v>
      </c>
      <c r="C2" s="4">
        <v>9260</v>
      </c>
      <c r="D2" s="4">
        <v>26.21</v>
      </c>
      <c r="E2" s="4">
        <v>10.82</v>
      </c>
      <c r="F2" s="4">
        <v>3.96</v>
      </c>
      <c r="G2" s="4">
        <v>3265</v>
      </c>
      <c r="H2" s="4">
        <v>15850</v>
      </c>
      <c r="I2" s="4">
        <v>708</v>
      </c>
      <c r="K2" s="4"/>
    </row>
    <row r="3" spans="1:11" s="6" customFormat="1" x14ac:dyDescent="0.2">
      <c r="A3" s="1" t="s">
        <v>22</v>
      </c>
      <c r="B3" s="1">
        <v>417</v>
      </c>
      <c r="C3" s="1">
        <v>7408</v>
      </c>
      <c r="D3" s="1">
        <v>20.12</v>
      </c>
      <c r="E3" s="1">
        <v>10.97</v>
      </c>
      <c r="F3" s="1">
        <v>3.6</v>
      </c>
      <c r="G3" s="1">
        <v>3401</v>
      </c>
      <c r="H3" s="1">
        <v>15240</v>
      </c>
      <c r="I3" s="1">
        <v>599</v>
      </c>
      <c r="K3" s="1"/>
    </row>
    <row r="4" spans="1:11" x14ac:dyDescent="0.2">
      <c r="A4" s="4" t="s">
        <v>23</v>
      </c>
      <c r="B4" s="4">
        <v>232</v>
      </c>
      <c r="C4" s="4">
        <v>2778</v>
      </c>
      <c r="D4" s="4">
        <v>12.8</v>
      </c>
      <c r="E4" s="4">
        <v>5.76</v>
      </c>
      <c r="F4" s="4"/>
      <c r="G4" s="4">
        <v>703</v>
      </c>
      <c r="H4" s="4">
        <v>7620</v>
      </c>
      <c r="I4" s="4">
        <v>73.5</v>
      </c>
      <c r="K4" s="4"/>
    </row>
    <row r="5" spans="1:11" x14ac:dyDescent="0.2">
      <c r="A5" s="7" t="s">
        <v>24</v>
      </c>
      <c r="B5" s="7">
        <v>222</v>
      </c>
      <c r="C5" s="7">
        <v>6482</v>
      </c>
      <c r="D5" s="7">
        <v>16.760000000000002</v>
      </c>
      <c r="E5" s="7">
        <v>8.23</v>
      </c>
      <c r="F5" s="7">
        <v>2.06</v>
      </c>
      <c r="G5" s="7">
        <v>1020</v>
      </c>
      <c r="H5" s="7">
        <v>7620</v>
      </c>
      <c r="I5" s="7">
        <v>78.3</v>
      </c>
      <c r="J5" s="8"/>
      <c r="K5" s="4"/>
    </row>
    <row r="6" spans="1:11" x14ac:dyDescent="0.2">
      <c r="A6" s="4" t="s">
        <v>25</v>
      </c>
      <c r="B6" s="4">
        <v>232</v>
      </c>
      <c r="C6" s="4">
        <v>1000</v>
      </c>
      <c r="D6" s="4">
        <v>16.600000000000001</v>
      </c>
      <c r="E6" s="4">
        <v>8.5</v>
      </c>
      <c r="F6" s="4">
        <v>2.2999999999999998</v>
      </c>
      <c r="G6" s="4">
        <v>1100</v>
      </c>
      <c r="H6" s="4">
        <v>9145</v>
      </c>
      <c r="I6" s="4">
        <v>73.5</v>
      </c>
      <c r="K6" s="4"/>
    </row>
    <row r="7" spans="1:11" x14ac:dyDescent="0.2">
      <c r="A7" s="4" t="s">
        <v>26</v>
      </c>
      <c r="B7" s="4">
        <v>315</v>
      </c>
      <c r="C7" s="4">
        <v>4000</v>
      </c>
      <c r="D7" s="4">
        <v>18</v>
      </c>
      <c r="E7" s="4">
        <v>8.5</v>
      </c>
      <c r="F7" s="4"/>
      <c r="G7" s="4">
        <v>1050</v>
      </c>
      <c r="H7" s="4">
        <v>7620</v>
      </c>
      <c r="I7" s="4">
        <v>84.6</v>
      </c>
      <c r="K7" s="4"/>
    </row>
    <row r="8" spans="1:11" x14ac:dyDescent="0.2">
      <c r="A8" s="4" t="s">
        <v>27</v>
      </c>
      <c r="B8" s="4">
        <v>259</v>
      </c>
      <c r="C8" s="4">
        <v>400</v>
      </c>
      <c r="D8" s="4">
        <v>17.399999999999999</v>
      </c>
      <c r="E8" s="4">
        <v>8</v>
      </c>
      <c r="F8" s="4">
        <v>3.4</v>
      </c>
      <c r="G8" s="4">
        <v>1680</v>
      </c>
      <c r="H8" s="4">
        <v>7925</v>
      </c>
      <c r="I8" s="4">
        <v>114</v>
      </c>
      <c r="J8" s="3">
        <v>9</v>
      </c>
      <c r="K8" s="4"/>
    </row>
    <row r="9" spans="1:11" x14ac:dyDescent="0.2">
      <c r="A9" s="4" t="s">
        <v>28</v>
      </c>
      <c r="B9" s="4">
        <v>280</v>
      </c>
      <c r="C9" s="4">
        <v>4000</v>
      </c>
      <c r="D9" s="4">
        <v>14</v>
      </c>
      <c r="E9" s="4">
        <v>9.06</v>
      </c>
      <c r="F9" s="4">
        <v>2.78</v>
      </c>
      <c r="G9" s="4">
        <v>1100</v>
      </c>
      <c r="H9" s="4">
        <v>5000</v>
      </c>
      <c r="I9" s="4">
        <v>74.599999999999994</v>
      </c>
      <c r="K9" s="4"/>
    </row>
    <row r="10" spans="1:11" x14ac:dyDescent="0.2">
      <c r="A10" s="4" t="s">
        <v>29</v>
      </c>
      <c r="B10" s="4">
        <v>160</v>
      </c>
      <c r="C10" s="4">
        <v>100</v>
      </c>
      <c r="D10" s="4">
        <v>4.5</v>
      </c>
      <c r="E10" s="4">
        <v>2.8</v>
      </c>
      <c r="F10" s="4"/>
      <c r="G10" s="4">
        <v>80</v>
      </c>
      <c r="H10" s="4">
        <v>3200</v>
      </c>
      <c r="I10" s="4">
        <v>7.5</v>
      </c>
      <c r="J10" s="3">
        <v>0.15</v>
      </c>
      <c r="K10" s="4"/>
    </row>
    <row r="11" spans="1:11" x14ac:dyDescent="0.2">
      <c r="A11" s="4" t="s">
        <v>30</v>
      </c>
      <c r="B11" s="4">
        <v>222</v>
      </c>
      <c r="C11" s="4">
        <v>1000</v>
      </c>
      <c r="D11" s="4">
        <v>12.55</v>
      </c>
      <c r="E11" s="4">
        <v>5.1100000000000003</v>
      </c>
      <c r="F11" s="4">
        <v>1.7</v>
      </c>
      <c r="G11" s="4">
        <v>500</v>
      </c>
      <c r="H11" s="4">
        <v>6095</v>
      </c>
      <c r="I11" s="4">
        <v>84.5</v>
      </c>
      <c r="K11" s="4"/>
    </row>
    <row r="12" spans="1:11" x14ac:dyDescent="0.2">
      <c r="A12" s="4" t="s">
        <v>31</v>
      </c>
      <c r="B12" s="4">
        <v>150</v>
      </c>
      <c r="C12" s="4">
        <v>600</v>
      </c>
      <c r="D12" s="4">
        <v>3</v>
      </c>
      <c r="E12" s="4"/>
      <c r="F12" s="4"/>
      <c r="G12" s="4">
        <v>30</v>
      </c>
      <c r="H12" s="4">
        <v>3000</v>
      </c>
      <c r="I12" s="4"/>
      <c r="K12" s="4"/>
    </row>
    <row r="13" spans="1:11" x14ac:dyDescent="0.2">
      <c r="A13" s="4" t="s">
        <v>32</v>
      </c>
      <c r="B13" s="4">
        <v>228</v>
      </c>
      <c r="C13" s="4">
        <v>250</v>
      </c>
      <c r="D13" s="4">
        <v>3.89</v>
      </c>
      <c r="E13" s="4">
        <v>3.4</v>
      </c>
      <c r="F13" s="4">
        <v>0.91</v>
      </c>
      <c r="G13" s="4">
        <v>154</v>
      </c>
      <c r="H13" s="4">
        <v>4570</v>
      </c>
      <c r="I13" s="4">
        <v>28.3</v>
      </c>
      <c r="J13" s="3">
        <v>2</v>
      </c>
      <c r="K13" s="4"/>
    </row>
    <row r="14" spans="1:11" x14ac:dyDescent="0.2">
      <c r="A14" s="4" t="s">
        <v>33</v>
      </c>
      <c r="B14" s="4">
        <v>130</v>
      </c>
      <c r="C14" s="4">
        <v>80</v>
      </c>
      <c r="D14" s="4">
        <v>3.3</v>
      </c>
      <c r="E14" s="4">
        <v>2.2999999999999998</v>
      </c>
      <c r="F14" s="4">
        <v>0.66</v>
      </c>
      <c r="G14" s="4">
        <v>21</v>
      </c>
      <c r="H14" s="4">
        <v>3000</v>
      </c>
      <c r="I14" s="4"/>
      <c r="K14" s="4"/>
    </row>
    <row r="15" spans="1:11" x14ac:dyDescent="0.2">
      <c r="A15" s="4" t="s">
        <v>34</v>
      </c>
      <c r="B15" s="4">
        <v>100</v>
      </c>
      <c r="C15" s="4">
        <v>18</v>
      </c>
      <c r="D15" s="4">
        <v>3.6</v>
      </c>
      <c r="E15" s="4"/>
      <c r="F15" s="4"/>
      <c r="G15" s="4">
        <v>8.5</v>
      </c>
      <c r="H15" s="4">
        <v>600</v>
      </c>
      <c r="I15" s="4"/>
      <c r="K15" s="4"/>
    </row>
    <row r="16" spans="1:11" x14ac:dyDescent="0.2">
      <c r="A16" s="4" t="s">
        <v>35</v>
      </c>
      <c r="B16" s="4">
        <v>74</v>
      </c>
      <c r="C16" s="4">
        <v>8</v>
      </c>
      <c r="D16" s="4">
        <v>1.5</v>
      </c>
      <c r="E16" s="4">
        <v>0.98</v>
      </c>
      <c r="F16" s="4">
        <v>0.35</v>
      </c>
      <c r="G16" s="4">
        <v>4.7</v>
      </c>
      <c r="H16" s="4"/>
      <c r="I16" s="4"/>
      <c r="K16" s="4"/>
    </row>
    <row r="17" spans="1:11" x14ac:dyDescent="0.2">
      <c r="A17" s="4" t="s">
        <v>36</v>
      </c>
      <c r="B17" s="4">
        <v>100</v>
      </c>
      <c r="C17" s="4">
        <v>6</v>
      </c>
      <c r="D17" s="4">
        <v>0.67</v>
      </c>
      <c r="E17" s="4">
        <v>0.53</v>
      </c>
      <c r="F17" s="4">
        <v>0.19</v>
      </c>
      <c r="G17" s="4">
        <v>0.5</v>
      </c>
      <c r="H17" s="4">
        <v>335</v>
      </c>
      <c r="I17" s="4"/>
      <c r="K17" s="4"/>
    </row>
    <row r="18" spans="1:11" x14ac:dyDescent="0.2">
      <c r="A18" s="4" t="s">
        <v>37</v>
      </c>
      <c r="B18" s="4">
        <v>204</v>
      </c>
      <c r="C18" s="4">
        <v>400</v>
      </c>
      <c r="D18" s="4">
        <v>6.5</v>
      </c>
      <c r="E18" s="4">
        <v>4.5</v>
      </c>
      <c r="F18" s="4">
        <v>1.22</v>
      </c>
      <c r="G18" s="4">
        <v>200</v>
      </c>
      <c r="H18" s="4">
        <v>5485</v>
      </c>
      <c r="I18" s="4">
        <v>28.3</v>
      </c>
      <c r="K18" s="4"/>
    </row>
    <row r="19" spans="1:11" x14ac:dyDescent="0.2">
      <c r="A19" s="4" t="s">
        <v>38</v>
      </c>
      <c r="B19" s="4">
        <v>176</v>
      </c>
      <c r="C19" s="4">
        <v>400</v>
      </c>
      <c r="D19" s="4">
        <v>10.51</v>
      </c>
      <c r="E19" s="4">
        <v>6.1</v>
      </c>
      <c r="F19" s="4">
        <v>2.37</v>
      </c>
      <c r="G19" s="4">
        <v>450</v>
      </c>
      <c r="H19" s="4">
        <v>5485</v>
      </c>
      <c r="I19" s="4">
        <v>38.799999999999997</v>
      </c>
      <c r="K19" s="4"/>
    </row>
    <row r="20" spans="1:11" x14ac:dyDescent="0.2">
      <c r="A20" s="4" t="s">
        <v>39</v>
      </c>
      <c r="B20" s="4">
        <v>180</v>
      </c>
      <c r="C20" s="4">
        <v>300</v>
      </c>
      <c r="D20" s="4">
        <v>4.4000000000000004</v>
      </c>
      <c r="E20" s="4">
        <v>3.5</v>
      </c>
      <c r="F20" s="4">
        <v>1.4</v>
      </c>
      <c r="G20" s="4">
        <v>110</v>
      </c>
      <c r="H20" s="4">
        <v>4480</v>
      </c>
      <c r="I20" s="4">
        <v>16.399999999999999</v>
      </c>
      <c r="K20" s="4"/>
    </row>
    <row r="21" spans="1:11" x14ac:dyDescent="0.2">
      <c r="A21" s="4" t="s">
        <v>40</v>
      </c>
      <c r="B21" s="4">
        <v>139</v>
      </c>
      <c r="C21" s="4">
        <v>2224</v>
      </c>
      <c r="D21" s="4">
        <v>5.33</v>
      </c>
      <c r="E21" s="4">
        <v>2.87</v>
      </c>
      <c r="F21" s="4"/>
      <c r="G21" s="4">
        <v>79</v>
      </c>
      <c r="H21" s="4">
        <v>4570</v>
      </c>
      <c r="I21" s="4"/>
      <c r="K21" s="4"/>
    </row>
    <row r="22" spans="1:11" x14ac:dyDescent="0.2">
      <c r="A22" s="4" t="s">
        <v>41</v>
      </c>
      <c r="B22" s="4">
        <v>169</v>
      </c>
      <c r="C22" s="4">
        <v>80</v>
      </c>
      <c r="D22" s="4">
        <v>4.38</v>
      </c>
      <c r="E22" s="4">
        <v>3.43</v>
      </c>
      <c r="F22" s="4">
        <v>1.1399999999999999</v>
      </c>
      <c r="G22" s="4">
        <v>60</v>
      </c>
      <c r="H22" s="4">
        <v>2000</v>
      </c>
      <c r="I22" s="4">
        <v>13.3</v>
      </c>
      <c r="K22" s="4"/>
    </row>
    <row r="23" spans="1:11" x14ac:dyDescent="0.2">
      <c r="A23" s="4" t="s">
        <v>42</v>
      </c>
      <c r="B23" s="4">
        <v>146</v>
      </c>
      <c r="C23" s="4">
        <v>100</v>
      </c>
      <c r="D23" s="4">
        <v>3.98</v>
      </c>
      <c r="E23" s="4">
        <v>2.4700000000000002</v>
      </c>
      <c r="F23" s="4"/>
      <c r="G23" s="4">
        <v>30</v>
      </c>
      <c r="H23" s="4">
        <v>3000</v>
      </c>
      <c r="I23" s="4">
        <v>4.5</v>
      </c>
      <c r="J23" s="3">
        <v>0.25</v>
      </c>
      <c r="K23" s="4"/>
    </row>
    <row r="24" spans="1:11" x14ac:dyDescent="0.2">
      <c r="A24" s="4" t="s">
        <v>43</v>
      </c>
      <c r="B24" s="4">
        <v>204</v>
      </c>
      <c r="C24" s="4">
        <v>72</v>
      </c>
      <c r="D24" s="4">
        <v>2.67</v>
      </c>
      <c r="E24" s="4">
        <v>1.9</v>
      </c>
      <c r="F24" s="4">
        <v>0.62</v>
      </c>
      <c r="G24" s="4">
        <v>27</v>
      </c>
      <c r="H24" s="4">
        <v>4875</v>
      </c>
      <c r="I24" s="4"/>
      <c r="K24" s="4"/>
    </row>
    <row r="25" spans="1:11" x14ac:dyDescent="0.2">
      <c r="A25" s="4" t="s">
        <v>44</v>
      </c>
      <c r="B25" s="4">
        <v>111</v>
      </c>
      <c r="C25" s="4">
        <v>100</v>
      </c>
      <c r="D25" s="4">
        <v>1.52</v>
      </c>
      <c r="E25" s="4">
        <v>1.19</v>
      </c>
      <c r="F25" s="4"/>
      <c r="G25" s="4">
        <v>5</v>
      </c>
      <c r="H25" s="4">
        <v>150</v>
      </c>
      <c r="I25" s="4"/>
      <c r="K25" s="4"/>
    </row>
    <row r="26" spans="1:11" x14ac:dyDescent="0.2">
      <c r="A26" s="4" t="s">
        <v>45</v>
      </c>
      <c r="B26" s="4">
        <v>190</v>
      </c>
      <c r="C26" s="4">
        <v>500</v>
      </c>
      <c r="D26" s="4">
        <v>9</v>
      </c>
      <c r="E26" s="4">
        <v>4.0999999999999996</v>
      </c>
      <c r="F26" s="4">
        <v>1.6</v>
      </c>
      <c r="G26" s="4">
        <v>300</v>
      </c>
      <c r="H26" s="4">
        <v>5975</v>
      </c>
      <c r="I26" s="4">
        <v>37.25</v>
      </c>
      <c r="K26" s="4"/>
    </row>
    <row r="27" spans="1:11" x14ac:dyDescent="0.2">
      <c r="A27" s="4" t="s">
        <v>46</v>
      </c>
      <c r="B27" s="4">
        <v>296</v>
      </c>
      <c r="C27" s="4">
        <v>400</v>
      </c>
      <c r="D27" s="4">
        <v>16.61</v>
      </c>
      <c r="E27" s="4">
        <v>9.27</v>
      </c>
      <c r="F27" s="4">
        <v>2.29</v>
      </c>
      <c r="G27" s="4">
        <v>1496</v>
      </c>
      <c r="H27" s="4">
        <v>8535</v>
      </c>
      <c r="I27" s="4">
        <v>101.4</v>
      </c>
      <c r="K27" s="4"/>
    </row>
    <row r="28" spans="1:11" x14ac:dyDescent="0.2">
      <c r="A28" s="4" t="s">
        <v>47</v>
      </c>
      <c r="B28" s="4">
        <v>148</v>
      </c>
      <c r="C28" s="4">
        <v>2136</v>
      </c>
      <c r="D28" s="4">
        <v>3.11</v>
      </c>
      <c r="E28" s="4">
        <v>1.37</v>
      </c>
      <c r="F28" s="4"/>
      <c r="G28" s="4">
        <v>20</v>
      </c>
      <c r="H28" s="4">
        <v>5945</v>
      </c>
      <c r="I28" s="4">
        <v>1.4</v>
      </c>
      <c r="J28" s="3">
        <v>0.15</v>
      </c>
      <c r="K28" s="4"/>
    </row>
    <row r="29" spans="1:11" x14ac:dyDescent="0.2">
      <c r="A29" s="4" t="s">
        <v>48</v>
      </c>
      <c r="B29" s="4">
        <v>130</v>
      </c>
      <c r="C29" s="4">
        <v>482</v>
      </c>
      <c r="D29" s="4">
        <v>4</v>
      </c>
      <c r="E29" s="4">
        <v>2.4</v>
      </c>
      <c r="F29" s="4">
        <v>0.9</v>
      </c>
      <c r="G29" s="4">
        <v>56</v>
      </c>
      <c r="H29" s="4">
        <v>3050</v>
      </c>
      <c r="I29" s="4"/>
    </row>
    <row r="30" spans="1:11" x14ac:dyDescent="0.2">
      <c r="A30" s="3" t="s">
        <v>476</v>
      </c>
      <c r="B30" s="3">
        <v>278</v>
      </c>
      <c r="C30" s="3">
        <v>4630</v>
      </c>
      <c r="D30" s="3">
        <v>18</v>
      </c>
      <c r="E30" s="3">
        <v>9</v>
      </c>
      <c r="G30" s="3">
        <v>1500</v>
      </c>
      <c r="H30" s="3">
        <v>9145</v>
      </c>
      <c r="I30" s="3">
        <v>114</v>
      </c>
      <c r="J30" s="3">
        <f>150*28/1000</f>
        <v>4.2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tabColor rgb="FF92D050"/>
  </sheetPr>
  <dimension ref="A1:K21"/>
  <sheetViews>
    <sheetView zoomScale="80" zoomScaleNormal="80" zoomScalePageLayoutView="80" workbookViewId="0">
      <selection activeCell="I12" sqref="I12"/>
    </sheetView>
  </sheetViews>
  <sheetFormatPr defaultColWidth="8.85546875" defaultRowHeight="15" x14ac:dyDescent="0.2"/>
  <cols>
    <col min="1" max="1" width="38" style="3" bestFit="1" customWidth="1"/>
    <col min="2" max="2" width="29.140625" style="3" bestFit="1" customWidth="1"/>
    <col min="3" max="3" width="14.28515625" style="3" bestFit="1" customWidth="1"/>
    <col min="4" max="4" width="17" style="3" bestFit="1" customWidth="1"/>
    <col min="5" max="5" width="13.42578125" style="3" bestFit="1" customWidth="1"/>
    <col min="6" max="6" width="12.85546875" style="3" bestFit="1" customWidth="1"/>
    <col min="7" max="7" width="13.42578125" style="3" bestFit="1" customWidth="1"/>
    <col min="8" max="8" width="25" style="3" bestFit="1" customWidth="1"/>
    <col min="9" max="9" width="27.28515625" style="3" bestFit="1" customWidth="1"/>
    <col min="10" max="10" width="31.28515625" style="3" bestFit="1" customWidth="1"/>
    <col min="11" max="16384" width="8.85546875" style="3"/>
  </cols>
  <sheetData>
    <row r="1" spans="1:1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19</v>
      </c>
      <c r="I1" s="2" t="s">
        <v>7</v>
      </c>
      <c r="J1" s="2" t="s">
        <v>8</v>
      </c>
    </row>
    <row r="2" spans="1:11" x14ac:dyDescent="0.2">
      <c r="A2" s="4" t="s">
        <v>49</v>
      </c>
      <c r="B2" s="4">
        <v>482</v>
      </c>
      <c r="C2" s="4">
        <v>1555</v>
      </c>
      <c r="D2" s="4">
        <v>25.81</v>
      </c>
      <c r="E2" s="4">
        <v>24.45</v>
      </c>
      <c r="F2" s="4">
        <v>8.66</v>
      </c>
      <c r="G2" s="4">
        <v>21000</v>
      </c>
      <c r="H2" s="4">
        <v>4125</v>
      </c>
      <c r="I2" s="4">
        <v>3944</v>
      </c>
      <c r="K2" s="4"/>
    </row>
    <row r="3" spans="1:11" x14ac:dyDescent="0.2">
      <c r="A3" s="4" t="s">
        <v>50</v>
      </c>
      <c r="B3" s="4">
        <v>474</v>
      </c>
      <c r="C3" s="4">
        <v>2707</v>
      </c>
      <c r="D3" s="4">
        <v>24.56</v>
      </c>
      <c r="E3" s="4">
        <v>17.600000000000001</v>
      </c>
      <c r="F3" s="4">
        <v>5.58</v>
      </c>
      <c r="G3" s="4">
        <v>24687</v>
      </c>
      <c r="H3" s="4">
        <v>10575</v>
      </c>
      <c r="I3" s="4">
        <v>7606</v>
      </c>
      <c r="J3" s="3">
        <v>191.25</v>
      </c>
      <c r="K3" s="4"/>
    </row>
    <row r="4" spans="1:11" x14ac:dyDescent="0.2">
      <c r="A4" s="4" t="s">
        <v>51</v>
      </c>
      <c r="B4" s="4">
        <v>326</v>
      </c>
      <c r="C4" s="4">
        <v>1863</v>
      </c>
      <c r="D4" s="4">
        <v>16.45</v>
      </c>
      <c r="E4" s="4">
        <v>12.2</v>
      </c>
      <c r="F4" s="4">
        <v>4.3600000000000003</v>
      </c>
      <c r="G4" s="4">
        <v>3856</v>
      </c>
      <c r="H4" s="4">
        <v>3660</v>
      </c>
      <c r="I4" s="4">
        <v>596</v>
      </c>
      <c r="J4" s="3">
        <v>11.2</v>
      </c>
      <c r="K4" s="4"/>
    </row>
    <row r="5" spans="1:11" x14ac:dyDescent="0.2">
      <c r="A5" s="4" t="s">
        <v>52</v>
      </c>
      <c r="B5" s="4">
        <v>504</v>
      </c>
      <c r="C5" s="4">
        <v>2129</v>
      </c>
      <c r="D5" s="4">
        <v>12</v>
      </c>
      <c r="E5" s="4">
        <v>10.5</v>
      </c>
      <c r="F5" s="4">
        <v>4</v>
      </c>
      <c r="G5" s="4">
        <v>3800</v>
      </c>
      <c r="H5" s="4">
        <v>9450</v>
      </c>
      <c r="I5" s="4">
        <v>708</v>
      </c>
      <c r="K5" s="4"/>
    </row>
    <row r="6" spans="1:11" x14ac:dyDescent="0.2">
      <c r="A6" s="4" t="s">
        <v>53</v>
      </c>
      <c r="B6" s="4">
        <v>259</v>
      </c>
      <c r="C6" s="4">
        <v>1148</v>
      </c>
      <c r="D6" s="4">
        <v>11.4</v>
      </c>
      <c r="E6" s="4">
        <v>8.66</v>
      </c>
      <c r="F6" s="4">
        <v>2.85</v>
      </c>
      <c r="G6" s="4">
        <v>1230</v>
      </c>
      <c r="H6" s="4">
        <v>2010</v>
      </c>
      <c r="I6" s="4">
        <v>147</v>
      </c>
      <c r="J6" s="3">
        <v>0.96</v>
      </c>
      <c r="K6" s="4"/>
    </row>
    <row r="7" spans="1:11" x14ac:dyDescent="0.2">
      <c r="A7" s="4" t="s">
        <v>54</v>
      </c>
      <c r="B7" s="4">
        <v>370</v>
      </c>
      <c r="C7" s="4"/>
      <c r="D7" s="4">
        <v>19.809999999999999</v>
      </c>
      <c r="E7" s="4">
        <v>10.36</v>
      </c>
      <c r="F7" s="4">
        <v>2.96</v>
      </c>
      <c r="G7" s="4">
        <v>2268</v>
      </c>
      <c r="H7" s="4">
        <v>9145</v>
      </c>
      <c r="I7" s="4">
        <v>261</v>
      </c>
      <c r="K7" s="4"/>
    </row>
    <row r="8" spans="1:11" x14ac:dyDescent="0.2">
      <c r="A8" s="4" t="s">
        <v>55</v>
      </c>
      <c r="B8" s="4">
        <v>200</v>
      </c>
      <c r="C8" s="4">
        <v>1055</v>
      </c>
      <c r="D8" s="4">
        <v>11.07</v>
      </c>
      <c r="E8" s="4">
        <v>7.01</v>
      </c>
      <c r="F8" s="4">
        <v>3.05</v>
      </c>
      <c r="G8" s="4">
        <v>925</v>
      </c>
      <c r="H8" s="4">
        <v>4650</v>
      </c>
      <c r="I8" s="4">
        <v>125</v>
      </c>
      <c r="J8" s="4">
        <v>1.96</v>
      </c>
      <c r="K8" s="4"/>
    </row>
    <row r="9" spans="1:11" x14ac:dyDescent="0.2">
      <c r="A9" s="1" t="s">
        <v>243</v>
      </c>
      <c r="B9" s="1">
        <v>311</v>
      </c>
      <c r="D9" s="1">
        <v>25.63</v>
      </c>
      <c r="E9" s="1">
        <v>10.7</v>
      </c>
      <c r="F9" s="1">
        <v>3.34</v>
      </c>
      <c r="G9" s="3">
        <v>3674</v>
      </c>
      <c r="H9" s="3">
        <v>9145</v>
      </c>
      <c r="I9" s="3">
        <f>2*336</f>
        <v>672</v>
      </c>
      <c r="J9" s="3">
        <f>(150+150+175)*28/1000</f>
        <v>13.3</v>
      </c>
    </row>
    <row r="10" spans="1:11" x14ac:dyDescent="0.2">
      <c r="A10" s="3" t="s">
        <v>244</v>
      </c>
      <c r="B10" s="3">
        <v>500</v>
      </c>
      <c r="C10" s="3">
        <v>3191</v>
      </c>
      <c r="D10" s="3">
        <v>16.27</v>
      </c>
      <c r="E10" s="3">
        <v>14.4</v>
      </c>
      <c r="F10" s="3">
        <v>4.26</v>
      </c>
      <c r="G10" s="3">
        <v>4740</v>
      </c>
      <c r="H10" s="3">
        <v>9145</v>
      </c>
      <c r="I10" s="3">
        <v>895</v>
      </c>
      <c r="J10" s="3">
        <f>(28*300)*2/1000</f>
        <v>16.8</v>
      </c>
    </row>
    <row r="11" spans="1:11" x14ac:dyDescent="0.2">
      <c r="A11" s="3" t="s">
        <v>245</v>
      </c>
      <c r="B11" s="3">
        <v>454</v>
      </c>
      <c r="C11" s="3">
        <v>5059</v>
      </c>
      <c r="D11" s="3">
        <v>25.81</v>
      </c>
      <c r="E11" s="3">
        <v>21.4</v>
      </c>
      <c r="F11" s="3">
        <v>8.18</v>
      </c>
      <c r="G11" s="3">
        <v>16500</v>
      </c>
      <c r="H11" s="3">
        <v>9145</v>
      </c>
      <c r="I11" s="3">
        <f>2*1305</f>
        <v>2610</v>
      </c>
      <c r="J11" s="3">
        <f>(400*28*2/1000)+(3*600*0.75/1000)</f>
        <v>23.75</v>
      </c>
    </row>
    <row r="12" spans="1:11" x14ac:dyDescent="0.2">
      <c r="A12" s="3" t="s">
        <v>246</v>
      </c>
      <c r="B12" s="3">
        <v>361</v>
      </c>
      <c r="C12" s="3">
        <v>2465</v>
      </c>
      <c r="D12" s="3">
        <v>20.27</v>
      </c>
      <c r="E12" s="3">
        <v>16.149999999999999</v>
      </c>
      <c r="F12" s="3">
        <v>6.6</v>
      </c>
      <c r="G12" s="3">
        <v>8100</v>
      </c>
      <c r="H12" s="3">
        <v>7925</v>
      </c>
      <c r="I12" s="3">
        <f>2*690</f>
        <v>1380</v>
      </c>
      <c r="J12" s="3">
        <f>2*9</f>
        <v>18</v>
      </c>
    </row>
    <row r="13" spans="1:11" x14ac:dyDescent="0.2">
      <c r="A13" s="3" t="s">
        <v>247</v>
      </c>
      <c r="B13" s="3">
        <v>459</v>
      </c>
      <c r="C13" s="3">
        <v>3622</v>
      </c>
      <c r="D13" s="3">
        <v>27.05</v>
      </c>
      <c r="E13" s="3">
        <v>27.17</v>
      </c>
      <c r="F13" s="3">
        <v>7.65</v>
      </c>
      <c r="G13" s="3">
        <v>23000</v>
      </c>
      <c r="H13" s="3">
        <v>7620</v>
      </c>
      <c r="I13" s="3">
        <f>2*1864</f>
        <v>3728</v>
      </c>
    </row>
    <row r="14" spans="1:11" x14ac:dyDescent="0.2">
      <c r="A14" s="3" t="s">
        <v>248</v>
      </c>
      <c r="B14" s="3">
        <v>320</v>
      </c>
      <c r="C14" s="3">
        <v>2279</v>
      </c>
      <c r="D14" s="3">
        <v>12</v>
      </c>
      <c r="E14" s="3">
        <v>9.5500000000000007</v>
      </c>
      <c r="F14" s="3">
        <v>3.4</v>
      </c>
      <c r="G14" s="3">
        <v>2084</v>
      </c>
      <c r="H14" s="3">
        <v>6095</v>
      </c>
      <c r="I14" s="3">
        <f>2*149</f>
        <v>298</v>
      </c>
      <c r="J14" s="3">
        <f>2*28*70/1000</f>
        <v>3.92</v>
      </c>
    </row>
    <row r="15" spans="1:11" x14ac:dyDescent="0.2">
      <c r="A15" s="3" t="s">
        <v>249</v>
      </c>
      <c r="B15" s="3">
        <v>469</v>
      </c>
      <c r="C15" s="3">
        <v>4583</v>
      </c>
      <c r="D15" s="3">
        <v>33</v>
      </c>
      <c r="E15" s="3">
        <v>12</v>
      </c>
      <c r="F15" s="3">
        <v>5.68</v>
      </c>
      <c r="G15" s="3">
        <v>4700</v>
      </c>
      <c r="H15" s="3">
        <v>15240</v>
      </c>
      <c r="I15" s="3">
        <v>559</v>
      </c>
      <c r="J15" s="3">
        <f>(40.25*0.75)</f>
        <v>30.1875</v>
      </c>
    </row>
    <row r="16" spans="1:11" x14ac:dyDescent="0.2">
      <c r="A16" s="3" t="s">
        <v>250</v>
      </c>
      <c r="B16" s="3">
        <v>224</v>
      </c>
      <c r="C16" s="3">
        <v>1718</v>
      </c>
      <c r="D16" s="3">
        <v>23</v>
      </c>
      <c r="E16" s="3">
        <v>8.42</v>
      </c>
      <c r="F16" s="3">
        <v>1.8</v>
      </c>
      <c r="G16" s="3">
        <v>850</v>
      </c>
      <c r="H16" s="3">
        <v>9145</v>
      </c>
      <c r="I16" s="3">
        <v>84.6</v>
      </c>
      <c r="J16" s="3">
        <f>12*37.5/1000</f>
        <v>0.45</v>
      </c>
    </row>
    <row r="17" spans="1:10" x14ac:dyDescent="0.2">
      <c r="A17" s="3" t="s">
        <v>476</v>
      </c>
      <c r="B17" s="3">
        <v>278</v>
      </c>
      <c r="C17" s="3">
        <v>1481</v>
      </c>
      <c r="D17" s="3">
        <v>18</v>
      </c>
      <c r="E17" s="3">
        <v>9</v>
      </c>
      <c r="G17" s="3">
        <v>1500</v>
      </c>
      <c r="H17" s="3">
        <v>9145</v>
      </c>
      <c r="I17" s="3">
        <v>114</v>
      </c>
      <c r="J17" s="3">
        <f>150*28/1000</f>
        <v>4.2</v>
      </c>
    </row>
    <row r="18" spans="1:10" x14ac:dyDescent="0.2">
      <c r="A18" s="3" t="s">
        <v>477</v>
      </c>
      <c r="B18" s="3">
        <v>361</v>
      </c>
      <c r="C18" s="3">
        <v>1324</v>
      </c>
      <c r="D18" s="3">
        <v>20.27</v>
      </c>
      <c r="E18" s="3">
        <v>16.149999999999999</v>
      </c>
      <c r="F18" s="3">
        <v>6.6</v>
      </c>
      <c r="G18" s="3">
        <v>8100</v>
      </c>
      <c r="H18" s="3">
        <v>7925</v>
      </c>
      <c r="I18" s="3">
        <f>2*690</f>
        <v>1380</v>
      </c>
      <c r="J18" s="3">
        <v>18</v>
      </c>
    </row>
    <row r="19" spans="1:10" x14ac:dyDescent="0.2">
      <c r="A19" s="3" t="s">
        <v>478</v>
      </c>
      <c r="B19" s="3">
        <v>745</v>
      </c>
      <c r="C19" s="3">
        <v>2791</v>
      </c>
      <c r="D19" s="3">
        <v>14.035</v>
      </c>
      <c r="E19" s="3">
        <v>14.41</v>
      </c>
      <c r="F19" s="3">
        <v>3.98</v>
      </c>
      <c r="G19" s="3">
        <v>5488</v>
      </c>
      <c r="H19" s="3">
        <v>12495</v>
      </c>
      <c r="I19" s="3">
        <f>2*1216</f>
        <v>2432</v>
      </c>
      <c r="J19" s="3">
        <f>2*400*28/1000</f>
        <v>22.4</v>
      </c>
    </row>
    <row r="20" spans="1:10" x14ac:dyDescent="0.2">
      <c r="A20" s="3" t="s">
        <v>274</v>
      </c>
      <c r="B20" s="3">
        <v>350</v>
      </c>
      <c r="C20" s="3">
        <v>1498</v>
      </c>
      <c r="D20" s="3">
        <v>22.065000000000001</v>
      </c>
      <c r="E20" s="3">
        <v>13.1</v>
      </c>
      <c r="F20" s="3">
        <v>4.9000000000000004</v>
      </c>
      <c r="G20" s="3">
        <v>7500</v>
      </c>
      <c r="H20" s="3">
        <v>6000</v>
      </c>
      <c r="I20" s="3">
        <f>2*716</f>
        <v>1432</v>
      </c>
      <c r="J20" s="3">
        <v>24</v>
      </c>
    </row>
    <row r="21" spans="1:10" x14ac:dyDescent="0.2">
      <c r="A21" s="3" t="s">
        <v>479</v>
      </c>
      <c r="B21" s="3">
        <v>389</v>
      </c>
      <c r="C21" s="3">
        <v>2500</v>
      </c>
      <c r="D21" s="3">
        <v>17.37</v>
      </c>
      <c r="E21" s="3">
        <v>10.97</v>
      </c>
      <c r="F21" s="3">
        <v>3.89</v>
      </c>
      <c r="G21" s="3">
        <v>6713</v>
      </c>
      <c r="H21" s="3">
        <v>7620</v>
      </c>
      <c r="I21" s="3">
        <v>1193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9">
    <tabColor rgb="FF92D050"/>
  </sheetPr>
  <dimension ref="A1:L52"/>
  <sheetViews>
    <sheetView zoomScale="80" zoomScaleNormal="80" zoomScalePageLayoutView="80" workbookViewId="0">
      <selection activeCell="J28" sqref="J28"/>
    </sheetView>
  </sheetViews>
  <sheetFormatPr defaultColWidth="8.85546875" defaultRowHeight="15" x14ac:dyDescent="0.2"/>
  <cols>
    <col min="1" max="1" width="41.42578125" style="3" bestFit="1" customWidth="1"/>
    <col min="2" max="2" width="29.140625" style="3" bestFit="1" customWidth="1"/>
    <col min="3" max="3" width="14.28515625" style="3" bestFit="1" customWidth="1"/>
    <col min="4" max="4" width="17" style="3" bestFit="1" customWidth="1"/>
    <col min="5" max="5" width="13.42578125" style="3" bestFit="1" customWidth="1"/>
    <col min="6" max="6" width="12.85546875" style="3" bestFit="1" customWidth="1"/>
    <col min="7" max="7" width="13.42578125" style="3" bestFit="1" customWidth="1"/>
    <col min="8" max="8" width="25" style="3" bestFit="1" customWidth="1"/>
    <col min="9" max="9" width="18.140625" style="3" bestFit="1" customWidth="1"/>
    <col min="10" max="10" width="27.28515625" style="3" bestFit="1" customWidth="1"/>
    <col min="11" max="11" width="31.28515625" style="3" bestFit="1" customWidth="1"/>
    <col min="12" max="16384" width="8.85546875" style="3"/>
  </cols>
  <sheetData>
    <row r="1" spans="1:12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19</v>
      </c>
      <c r="I1" s="2" t="s">
        <v>20</v>
      </c>
      <c r="J1" s="2" t="s">
        <v>7</v>
      </c>
      <c r="K1" s="2" t="s">
        <v>8</v>
      </c>
    </row>
    <row r="2" spans="1:12" x14ac:dyDescent="0.2">
      <c r="A2" s="4" t="s">
        <v>56</v>
      </c>
      <c r="B2" s="4">
        <v>2497</v>
      </c>
      <c r="C2" s="4">
        <v>3676</v>
      </c>
      <c r="D2" s="4">
        <v>14.7</v>
      </c>
      <c r="E2" s="4">
        <v>21.94</v>
      </c>
      <c r="F2" s="4">
        <v>5.93</v>
      </c>
      <c r="G2" s="4">
        <v>23000</v>
      </c>
      <c r="H2" s="4">
        <v>18000</v>
      </c>
      <c r="I2" s="4">
        <v>245.2</v>
      </c>
    </row>
    <row r="3" spans="1:12" x14ac:dyDescent="0.2">
      <c r="A3" s="4" t="s">
        <v>57</v>
      </c>
      <c r="B3" s="4">
        <v>2119</v>
      </c>
      <c r="C3" s="4">
        <v>1620</v>
      </c>
      <c r="D3" s="4">
        <v>14.7</v>
      </c>
      <c r="E3" s="4">
        <v>21.94</v>
      </c>
      <c r="F3" s="4">
        <v>6.36</v>
      </c>
      <c r="G3" s="4">
        <v>34500</v>
      </c>
      <c r="H3" s="4">
        <v>17300</v>
      </c>
      <c r="I3" s="4">
        <v>246</v>
      </c>
    </row>
    <row r="4" spans="1:12" x14ac:dyDescent="0.2">
      <c r="A4" s="4" t="s">
        <v>58</v>
      </c>
      <c r="B4" s="4">
        <v>2656</v>
      </c>
      <c r="C4" s="4">
        <v>4444</v>
      </c>
      <c r="D4" s="4">
        <v>13.05</v>
      </c>
      <c r="E4" s="4">
        <v>19.43</v>
      </c>
      <c r="F4" s="4">
        <v>5.63</v>
      </c>
      <c r="G4" s="4">
        <v>36741</v>
      </c>
      <c r="H4" s="4"/>
      <c r="I4" s="4">
        <v>258.8</v>
      </c>
      <c r="J4" s="4"/>
      <c r="K4" s="4">
        <v>67.5</v>
      </c>
    </row>
    <row r="5" spans="1:12" x14ac:dyDescent="0.2">
      <c r="A5" s="4" t="s">
        <v>59</v>
      </c>
      <c r="B5" s="4">
        <v>1700</v>
      </c>
      <c r="C5" s="4">
        <v>2361</v>
      </c>
      <c r="D5" s="4">
        <v>13.68</v>
      </c>
      <c r="E5" s="4">
        <v>18.38</v>
      </c>
      <c r="F5" s="4">
        <v>4.88</v>
      </c>
      <c r="G5" s="4">
        <v>30209</v>
      </c>
      <c r="H5" s="4">
        <v>15240</v>
      </c>
      <c r="I5" s="4">
        <v>195.8</v>
      </c>
      <c r="J5" s="4"/>
      <c r="K5" s="4">
        <v>97.5</v>
      </c>
      <c r="L5" s="3">
        <f>130*0.75</f>
        <v>97.5</v>
      </c>
    </row>
    <row r="6" spans="1:12" x14ac:dyDescent="0.2">
      <c r="A6" s="4" t="s">
        <v>60</v>
      </c>
      <c r="B6" s="4">
        <v>2469</v>
      </c>
      <c r="C6" s="4">
        <f>1389*2</f>
        <v>2778</v>
      </c>
      <c r="D6" s="4">
        <v>11.09</v>
      </c>
      <c r="E6" s="4">
        <v>15.96</v>
      </c>
      <c r="F6" s="4">
        <v>5.28</v>
      </c>
      <c r="G6" s="4">
        <v>23500</v>
      </c>
      <c r="H6" s="4">
        <v>16765</v>
      </c>
      <c r="I6" s="4">
        <v>180</v>
      </c>
    </row>
    <row r="7" spans="1:12" x14ac:dyDescent="0.2">
      <c r="A7" s="4" t="s">
        <v>61</v>
      </c>
      <c r="B7" s="4">
        <v>2125</v>
      </c>
      <c r="C7" s="4">
        <v>3981</v>
      </c>
      <c r="D7" s="4">
        <v>10</v>
      </c>
      <c r="E7" s="4">
        <v>15.04</v>
      </c>
      <c r="F7" s="4">
        <v>5.09</v>
      </c>
      <c r="G7" s="4">
        <v>14548</v>
      </c>
      <c r="H7" s="4">
        <v>15240</v>
      </c>
      <c r="I7" s="4">
        <v>131.6</v>
      </c>
      <c r="J7" s="4"/>
      <c r="K7" s="4">
        <v>45</v>
      </c>
    </row>
    <row r="8" spans="1:12" x14ac:dyDescent="0.2">
      <c r="A8" s="4" t="s">
        <v>62</v>
      </c>
      <c r="B8" s="4">
        <v>1700</v>
      </c>
      <c r="C8" s="4">
        <v>1666</v>
      </c>
      <c r="D8" s="4">
        <v>10.67</v>
      </c>
      <c r="E8" s="4">
        <v>15.6</v>
      </c>
      <c r="F8" s="4">
        <v>4.34</v>
      </c>
      <c r="G8" s="4">
        <v>27216</v>
      </c>
      <c r="H8" s="4"/>
      <c r="I8" s="4">
        <v>191.3</v>
      </c>
      <c r="J8" s="4"/>
      <c r="K8" s="4">
        <v>60</v>
      </c>
      <c r="L8" s="3">
        <f>100*0.75</f>
        <v>75</v>
      </c>
    </row>
    <row r="9" spans="1:12" x14ac:dyDescent="0.2">
      <c r="A9" s="4" t="s">
        <v>63</v>
      </c>
      <c r="B9" s="4">
        <v>1912</v>
      </c>
      <c r="C9" s="4">
        <v>2500</v>
      </c>
      <c r="D9" s="4">
        <v>11.5</v>
      </c>
      <c r="E9" s="4">
        <v>18.8</v>
      </c>
      <c r="F9" s="4">
        <v>4.8</v>
      </c>
      <c r="G9" s="4">
        <v>22226</v>
      </c>
      <c r="H9" s="4"/>
      <c r="I9" s="4">
        <v>170</v>
      </c>
    </row>
    <row r="10" spans="1:12" x14ac:dyDescent="0.2">
      <c r="A10" s="4" t="s">
        <v>64</v>
      </c>
      <c r="B10" s="4">
        <v>1249</v>
      </c>
      <c r="C10" s="4">
        <v>1798</v>
      </c>
      <c r="D10" s="4">
        <v>9.34</v>
      </c>
      <c r="E10" s="4">
        <v>14.26</v>
      </c>
      <c r="F10" s="4">
        <v>4.78</v>
      </c>
      <c r="G10" s="4">
        <v>12400</v>
      </c>
      <c r="H10" s="4">
        <v>16000</v>
      </c>
      <c r="I10" s="4">
        <v>85</v>
      </c>
    </row>
    <row r="11" spans="1:12" x14ac:dyDescent="0.2">
      <c r="A11" s="4" t="s">
        <v>65</v>
      </c>
      <c r="B11" s="4">
        <v>1700</v>
      </c>
      <c r="C11" s="4">
        <v>2998</v>
      </c>
      <c r="D11" s="4">
        <v>14.7</v>
      </c>
      <c r="E11" s="4">
        <v>23.36</v>
      </c>
      <c r="F11" s="4">
        <v>6.4</v>
      </c>
      <c r="G11" s="4">
        <v>44500</v>
      </c>
      <c r="H11" s="4">
        <v>15700</v>
      </c>
      <c r="I11" s="4"/>
    </row>
    <row r="12" spans="1:12" x14ac:dyDescent="0.2">
      <c r="A12" s="4" t="s">
        <v>66</v>
      </c>
      <c r="B12" s="4">
        <v>1209</v>
      </c>
      <c r="C12" s="4">
        <v>3648</v>
      </c>
      <c r="D12" s="4">
        <v>12.71</v>
      </c>
      <c r="E12" s="4">
        <v>21.03</v>
      </c>
      <c r="F12" s="4">
        <v>6.58</v>
      </c>
      <c r="G12" s="4">
        <v>22000</v>
      </c>
      <c r="H12" s="4">
        <v>15600</v>
      </c>
      <c r="I12" s="4">
        <v>175.2</v>
      </c>
      <c r="J12" s="4"/>
      <c r="K12" s="4">
        <v>15</v>
      </c>
    </row>
    <row r="13" spans="1:12" x14ac:dyDescent="0.2">
      <c r="A13" s="4" t="s">
        <v>67</v>
      </c>
      <c r="B13" s="4"/>
      <c r="C13" s="4">
        <v>1600</v>
      </c>
      <c r="D13" s="4">
        <v>8.32</v>
      </c>
      <c r="E13" s="4">
        <v>14.56</v>
      </c>
      <c r="F13" s="4">
        <v>4.1100000000000003</v>
      </c>
      <c r="G13" s="4">
        <v>9800</v>
      </c>
      <c r="H13" s="4">
        <v>16000</v>
      </c>
      <c r="I13" s="4">
        <v>63.25</v>
      </c>
    </row>
    <row r="14" spans="1:12" x14ac:dyDescent="0.2">
      <c r="A14" s="4" t="s">
        <v>68</v>
      </c>
      <c r="B14" s="4">
        <v>1093</v>
      </c>
      <c r="C14" s="4">
        <v>1963</v>
      </c>
      <c r="D14" s="4">
        <v>9.7200000000000006</v>
      </c>
      <c r="E14" s="4">
        <v>11.49</v>
      </c>
      <c r="F14" s="4">
        <v>4.76</v>
      </c>
      <c r="G14" s="4">
        <v>9500</v>
      </c>
      <c r="H14" s="4">
        <v>13715</v>
      </c>
      <c r="I14" s="4">
        <v>55.8</v>
      </c>
      <c r="J14" s="4"/>
      <c r="K14" s="4">
        <v>30</v>
      </c>
    </row>
    <row r="15" spans="1:12" x14ac:dyDescent="0.2">
      <c r="A15" s="4" t="s">
        <v>69</v>
      </c>
      <c r="B15" s="4">
        <v>1000</v>
      </c>
      <c r="C15" s="4">
        <v>2518</v>
      </c>
      <c r="D15" s="4">
        <v>9.39</v>
      </c>
      <c r="E15" s="4">
        <v>11.85</v>
      </c>
      <c r="F15" s="4">
        <v>3.98</v>
      </c>
      <c r="G15" s="4">
        <v>5700</v>
      </c>
      <c r="H15" s="4">
        <v>13565</v>
      </c>
      <c r="I15" s="4">
        <v>27</v>
      </c>
      <c r="J15" s="4"/>
      <c r="K15" s="4">
        <v>12</v>
      </c>
    </row>
    <row r="16" spans="1:12" x14ac:dyDescent="0.2">
      <c r="A16" s="4" t="s">
        <v>70</v>
      </c>
      <c r="B16" s="4">
        <v>648</v>
      </c>
      <c r="C16" s="4">
        <v>2111</v>
      </c>
      <c r="D16" s="4">
        <v>9.69</v>
      </c>
      <c r="E16" s="4">
        <v>10.93</v>
      </c>
      <c r="F16" s="4">
        <v>4.29</v>
      </c>
      <c r="G16" s="4">
        <v>5200</v>
      </c>
      <c r="H16" s="4">
        <v>12900</v>
      </c>
      <c r="I16" s="4">
        <v>17.350000000000001</v>
      </c>
      <c r="J16" s="4"/>
      <c r="K16" s="4">
        <v>11.5</v>
      </c>
    </row>
    <row r="17" spans="1:11" x14ac:dyDescent="0.2">
      <c r="A17" s="4" t="s">
        <v>251</v>
      </c>
      <c r="B17" s="4">
        <v>1481.76</v>
      </c>
      <c r="C17" s="4">
        <v>1648</v>
      </c>
      <c r="D17" s="4">
        <v>9.75</v>
      </c>
      <c r="E17" s="4">
        <v>16.43</v>
      </c>
      <c r="F17" s="4">
        <v>5.43</v>
      </c>
      <c r="G17" s="4">
        <v>18600</v>
      </c>
      <c r="H17" s="4">
        <v>17000</v>
      </c>
      <c r="I17" s="4">
        <v>122.6</v>
      </c>
      <c r="J17" s="4"/>
      <c r="K17" s="4"/>
    </row>
    <row r="18" spans="1:11" x14ac:dyDescent="0.2">
      <c r="A18" s="4" t="s">
        <v>252</v>
      </c>
      <c r="B18" s="4"/>
      <c r="C18" s="4"/>
      <c r="D18" s="4">
        <v>13</v>
      </c>
      <c r="E18" s="4">
        <v>20.7</v>
      </c>
      <c r="F18" s="4">
        <v>4.7</v>
      </c>
      <c r="G18" s="4"/>
      <c r="H18" s="4"/>
      <c r="I18" s="4">
        <f>2*137</f>
        <v>274</v>
      </c>
      <c r="J18" s="4"/>
      <c r="K18" s="4"/>
    </row>
    <row r="19" spans="1:11" x14ac:dyDescent="0.2">
      <c r="A19" s="4" t="s">
        <v>253</v>
      </c>
      <c r="B19" s="4">
        <v>1200</v>
      </c>
      <c r="C19" s="4">
        <v>3100</v>
      </c>
      <c r="D19" s="4">
        <v>9.48</v>
      </c>
      <c r="E19" s="4">
        <v>12.27</v>
      </c>
      <c r="F19" s="4">
        <v>4.8099999999999996</v>
      </c>
      <c r="G19" s="4">
        <v>6800</v>
      </c>
      <c r="H19" s="4">
        <v>16000</v>
      </c>
      <c r="I19" s="4">
        <f>2*21.6</f>
        <v>43.2</v>
      </c>
      <c r="J19" s="4"/>
      <c r="K19" s="4"/>
    </row>
    <row r="20" spans="1:11" x14ac:dyDescent="0.2">
      <c r="A20" s="4" t="s">
        <v>254</v>
      </c>
      <c r="B20" s="4">
        <v>800</v>
      </c>
      <c r="C20" s="4">
        <v>2139</v>
      </c>
      <c r="D20" s="4">
        <v>9.6300000000000008</v>
      </c>
      <c r="E20" s="4">
        <v>11.6</v>
      </c>
      <c r="F20" s="4">
        <v>4.21</v>
      </c>
      <c r="G20" s="4">
        <v>4204</v>
      </c>
      <c r="H20" s="4">
        <v>13600</v>
      </c>
      <c r="I20" s="4">
        <v>16.87</v>
      </c>
      <c r="J20" s="4"/>
      <c r="K20" s="4">
        <v>12</v>
      </c>
    </row>
    <row r="21" spans="1:11" x14ac:dyDescent="0.2">
      <c r="A21" s="4" t="s">
        <v>255</v>
      </c>
      <c r="B21" s="4">
        <v>1389</v>
      </c>
      <c r="C21" s="4">
        <f>2*1759</f>
        <v>3518</v>
      </c>
      <c r="D21" s="4">
        <v>10.86</v>
      </c>
      <c r="E21" s="4">
        <v>15.27</v>
      </c>
      <c r="F21" s="4">
        <v>5.34</v>
      </c>
      <c r="G21" s="4">
        <v>24000</v>
      </c>
      <c r="H21" s="4">
        <v>15240</v>
      </c>
      <c r="I21" s="4">
        <f>2*50</f>
        <v>100</v>
      </c>
      <c r="J21" s="4"/>
      <c r="K21" s="4">
        <f>2*35*0.75</f>
        <v>52.5</v>
      </c>
    </row>
    <row r="22" spans="1:11" x14ac:dyDescent="0.2">
      <c r="A22" s="4" t="s">
        <v>256</v>
      </c>
      <c r="B22" s="4">
        <v>796</v>
      </c>
      <c r="C22" s="4">
        <v>2037</v>
      </c>
      <c r="D22" s="4">
        <v>8.4700000000000006</v>
      </c>
      <c r="E22" s="4">
        <v>9.85</v>
      </c>
      <c r="F22" s="4">
        <v>3.74</v>
      </c>
      <c r="G22" s="4">
        <v>3300</v>
      </c>
      <c r="H22" s="4">
        <v>12200</v>
      </c>
      <c r="I22" s="4">
        <v>15.12</v>
      </c>
      <c r="J22" s="4"/>
      <c r="K22" s="4"/>
    </row>
    <row r="23" spans="1:11" x14ac:dyDescent="0.2">
      <c r="A23" s="4" t="s">
        <v>258</v>
      </c>
      <c r="B23" s="4">
        <v>2200</v>
      </c>
      <c r="C23" s="4">
        <v>2000</v>
      </c>
      <c r="D23" s="4">
        <v>11.99</v>
      </c>
      <c r="E23" s="4">
        <v>17.37</v>
      </c>
      <c r="F23" s="4">
        <v>5.18</v>
      </c>
      <c r="G23" s="4">
        <v>18550</v>
      </c>
      <c r="H23" s="4">
        <v>17500</v>
      </c>
      <c r="I23" s="4">
        <f>2*88.3</f>
        <v>176.6</v>
      </c>
      <c r="J23" s="4"/>
      <c r="K23" s="4"/>
    </row>
    <row r="24" spans="1:11" x14ac:dyDescent="0.2">
      <c r="A24" s="4" t="s">
        <v>259</v>
      </c>
      <c r="B24" s="4">
        <v>2119</v>
      </c>
      <c r="C24" s="4">
        <v>3000</v>
      </c>
      <c r="D24" s="4">
        <v>14.7</v>
      </c>
      <c r="E24" s="4">
        <v>21.94</v>
      </c>
      <c r="F24" s="4">
        <v>6.36</v>
      </c>
      <c r="G24" s="4">
        <v>34500</v>
      </c>
      <c r="H24" s="4">
        <v>17300</v>
      </c>
      <c r="I24" s="4">
        <f>2*123</f>
        <v>246</v>
      </c>
      <c r="J24" s="4"/>
      <c r="K24" s="4"/>
    </row>
    <row r="25" spans="1:11" x14ac:dyDescent="0.2">
      <c r="A25" s="4" t="s">
        <v>260</v>
      </c>
      <c r="B25" s="4">
        <v>2390</v>
      </c>
      <c r="C25" s="4">
        <v>3550</v>
      </c>
      <c r="D25" s="4">
        <v>15.3</v>
      </c>
      <c r="E25" s="4">
        <v>21.9</v>
      </c>
      <c r="F25" s="4">
        <v>5.9</v>
      </c>
      <c r="G25" s="4">
        <v>34500</v>
      </c>
      <c r="H25" s="4">
        <v>18000</v>
      </c>
      <c r="I25" s="4">
        <f>2*142.2</f>
        <v>284.39999999999998</v>
      </c>
      <c r="J25" s="4"/>
      <c r="K25" s="4"/>
    </row>
    <row r="26" spans="1:11" x14ac:dyDescent="0.2">
      <c r="A26" s="4" t="s">
        <v>261</v>
      </c>
      <c r="B26" s="4">
        <v>1509</v>
      </c>
      <c r="C26" s="4">
        <f>2*442</f>
        <v>884</v>
      </c>
      <c r="D26" s="4">
        <v>9.4499999999999993</v>
      </c>
      <c r="E26" s="4">
        <v>13.13</v>
      </c>
      <c r="F26" s="4">
        <v>4.9400000000000004</v>
      </c>
      <c r="G26" s="4">
        <v>9339</v>
      </c>
      <c r="H26" s="4">
        <v>16795</v>
      </c>
      <c r="I26" s="4">
        <v>78.7</v>
      </c>
      <c r="J26" s="4"/>
      <c r="K26" s="4">
        <f>35*0.75</f>
        <v>26.25</v>
      </c>
    </row>
    <row r="27" spans="1:11" x14ac:dyDescent="0.2">
      <c r="A27" s="4" t="s">
        <v>263</v>
      </c>
      <c r="B27" s="4"/>
      <c r="C27" s="4">
        <f>800*2</f>
        <v>1600</v>
      </c>
      <c r="D27" s="4">
        <v>8.4</v>
      </c>
      <c r="E27" s="4">
        <v>14.1</v>
      </c>
      <c r="F27" s="4">
        <v>4.5</v>
      </c>
      <c r="G27" s="4">
        <v>14000</v>
      </c>
      <c r="H27" s="4"/>
      <c r="I27" s="4">
        <v>54</v>
      </c>
      <c r="J27" s="4"/>
      <c r="K27" s="4">
        <f>10*0.75</f>
        <v>7.5</v>
      </c>
    </row>
    <row r="28" spans="1:11" x14ac:dyDescent="0.2">
      <c r="A28" s="4" t="s">
        <v>266</v>
      </c>
      <c r="B28" s="4">
        <v>1087</v>
      </c>
      <c r="C28" s="4">
        <v>2315</v>
      </c>
      <c r="D28" s="4">
        <v>7.62</v>
      </c>
      <c r="E28" s="4">
        <v>11.73</v>
      </c>
      <c r="F28" s="4">
        <v>3.81</v>
      </c>
      <c r="G28" s="4">
        <v>3143</v>
      </c>
      <c r="H28" s="4">
        <v>15545</v>
      </c>
      <c r="I28" s="4">
        <f>2*6.67</f>
        <v>13.34</v>
      </c>
      <c r="J28" s="4"/>
      <c r="K28" s="4"/>
    </row>
    <row r="29" spans="1:11" x14ac:dyDescent="0.2">
      <c r="A29" s="4" t="s">
        <v>482</v>
      </c>
      <c r="B29" s="4">
        <v>935</v>
      </c>
      <c r="C29" s="4">
        <v>1220</v>
      </c>
      <c r="D29" s="4">
        <v>8.6999999999999993</v>
      </c>
      <c r="E29" s="4">
        <v>12.72</v>
      </c>
      <c r="F29" s="4">
        <v>4.87</v>
      </c>
      <c r="G29" s="4">
        <v>8000</v>
      </c>
      <c r="H29" s="4">
        <v>13200</v>
      </c>
      <c r="I29" s="4">
        <v>28.2</v>
      </c>
      <c r="J29" s="4"/>
      <c r="K29" s="4">
        <f>40*0.75+6</f>
        <v>36</v>
      </c>
    </row>
    <row r="30" spans="1:11" x14ac:dyDescent="0.2">
      <c r="A30" s="4" t="s">
        <v>483</v>
      </c>
      <c r="B30" s="4">
        <v>2222</v>
      </c>
      <c r="C30" s="4">
        <v>850</v>
      </c>
      <c r="D30" s="4">
        <v>8.1999999999999993</v>
      </c>
      <c r="E30" s="4">
        <v>13.2</v>
      </c>
      <c r="F30" s="4">
        <v>4.4000000000000004</v>
      </c>
      <c r="G30" s="4">
        <v>13500</v>
      </c>
      <c r="H30" s="4">
        <v>15240</v>
      </c>
      <c r="I30" s="4">
        <v>80.5</v>
      </c>
      <c r="J30" s="4"/>
      <c r="K30" s="4"/>
    </row>
    <row r="31" spans="1:11" x14ac:dyDescent="0.2">
      <c r="A31" s="4" t="s">
        <v>484</v>
      </c>
      <c r="B31" s="4">
        <v>750</v>
      </c>
      <c r="C31" s="4">
        <v>1000</v>
      </c>
      <c r="D31" s="4">
        <v>10</v>
      </c>
      <c r="E31" s="4">
        <v>11</v>
      </c>
      <c r="F31" s="4">
        <v>4.4000000000000004</v>
      </c>
      <c r="G31" s="4">
        <v>5400</v>
      </c>
      <c r="H31" s="4">
        <v>9000</v>
      </c>
      <c r="I31" s="4">
        <v>21.6</v>
      </c>
      <c r="J31" s="4"/>
      <c r="K31" s="4">
        <v>9</v>
      </c>
    </row>
    <row r="32" spans="1:11" x14ac:dyDescent="0.2">
      <c r="A32" s="4" t="s">
        <v>485</v>
      </c>
      <c r="B32" s="4">
        <v>1975</v>
      </c>
      <c r="C32" s="4">
        <v>1798</v>
      </c>
      <c r="D32" s="4">
        <v>8.4499999999999993</v>
      </c>
      <c r="E32" s="4">
        <v>14.26</v>
      </c>
      <c r="F32" s="4">
        <v>4.7750000000000004</v>
      </c>
      <c r="G32" s="4">
        <v>9100</v>
      </c>
      <c r="H32" s="4">
        <v>16000</v>
      </c>
      <c r="I32" s="4">
        <v>85</v>
      </c>
      <c r="J32" s="4"/>
      <c r="K32" s="4"/>
    </row>
    <row r="33" spans="1:12" x14ac:dyDescent="0.2">
      <c r="A33" s="4" t="s">
        <v>486</v>
      </c>
      <c r="B33" s="4">
        <v>2469</v>
      </c>
      <c r="C33" s="4">
        <v>3981</v>
      </c>
      <c r="D33" s="4">
        <v>15</v>
      </c>
      <c r="E33" s="4">
        <v>20.8</v>
      </c>
      <c r="F33" s="4">
        <v>5.0999999999999996</v>
      </c>
      <c r="G33" s="4">
        <v>37000</v>
      </c>
      <c r="H33" s="4">
        <v>20000</v>
      </c>
      <c r="I33" s="4">
        <f>2*147</f>
        <v>294</v>
      </c>
      <c r="J33" s="4"/>
      <c r="K33" s="4"/>
    </row>
    <row r="34" spans="1:12" x14ac:dyDescent="0.2">
      <c r="A34" s="4" t="s">
        <v>487</v>
      </c>
      <c r="B34" s="4">
        <v>700</v>
      </c>
      <c r="C34" s="4">
        <v>1500</v>
      </c>
      <c r="D34" s="4">
        <v>8.4</v>
      </c>
      <c r="E34" s="4">
        <v>9.59</v>
      </c>
      <c r="F34" s="4"/>
      <c r="G34" s="4">
        <v>2700</v>
      </c>
      <c r="H34" s="4">
        <v>6000</v>
      </c>
      <c r="I34" s="4">
        <v>21.57</v>
      </c>
      <c r="J34" s="4"/>
      <c r="K34" s="4"/>
    </row>
    <row r="35" spans="1:12" x14ac:dyDescent="0.2">
      <c r="A35" s="4" t="s">
        <v>488</v>
      </c>
      <c r="B35" s="4">
        <v>1059</v>
      </c>
      <c r="C35" s="4">
        <v>1600</v>
      </c>
      <c r="D35" s="4">
        <v>9.84</v>
      </c>
      <c r="E35" s="4">
        <v>11.494999999999999</v>
      </c>
      <c r="F35" s="4">
        <v>4.76</v>
      </c>
      <c r="G35" s="4">
        <v>7250</v>
      </c>
      <c r="H35" s="4">
        <v>12500</v>
      </c>
      <c r="I35" s="4">
        <v>24.5</v>
      </c>
      <c r="J35" s="4"/>
      <c r="K35" s="4">
        <f>40*0.75</f>
        <v>30</v>
      </c>
    </row>
    <row r="36" spans="1:12" x14ac:dyDescent="0.2">
      <c r="A36" s="4" t="s">
        <v>492</v>
      </c>
      <c r="B36" s="4">
        <v>833</v>
      </c>
      <c r="C36" s="4">
        <v>4444</v>
      </c>
      <c r="D36" s="4">
        <v>14.58</v>
      </c>
      <c r="E36" s="4">
        <v>13.49</v>
      </c>
      <c r="F36" s="4">
        <v>4.32</v>
      </c>
      <c r="G36" s="4">
        <v>9639</v>
      </c>
      <c r="H36" s="4">
        <v>13715</v>
      </c>
      <c r="I36" s="4">
        <f>2*17.8</f>
        <v>35.6</v>
      </c>
      <c r="J36" s="4"/>
      <c r="K36" s="4"/>
    </row>
    <row r="37" spans="1:12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2" x14ac:dyDescent="0.2">
      <c r="A38" s="4" t="s">
        <v>71</v>
      </c>
      <c r="B38" s="4">
        <v>426</v>
      </c>
      <c r="C38" s="4">
        <v>1574</v>
      </c>
      <c r="D38" s="4">
        <v>10.19</v>
      </c>
      <c r="E38" s="4">
        <v>10.130000000000001</v>
      </c>
      <c r="F38" s="4">
        <v>3.26</v>
      </c>
      <c r="G38" s="4">
        <v>2948</v>
      </c>
      <c r="H38" s="4">
        <v>10670</v>
      </c>
      <c r="J38" s="4">
        <v>1274</v>
      </c>
      <c r="K38" s="4">
        <v>9</v>
      </c>
      <c r="L38" s="4"/>
    </row>
    <row r="39" spans="1:12" x14ac:dyDescent="0.2">
      <c r="A39" s="4" t="s">
        <v>72</v>
      </c>
      <c r="B39" s="4">
        <v>439</v>
      </c>
      <c r="C39" s="4">
        <v>963</v>
      </c>
      <c r="D39" s="4">
        <v>10.26</v>
      </c>
      <c r="E39" s="4">
        <v>8.42</v>
      </c>
      <c r="F39" s="4">
        <v>2.72</v>
      </c>
      <c r="G39" s="4">
        <v>1515</v>
      </c>
      <c r="H39" s="4">
        <v>7620</v>
      </c>
      <c r="J39" s="4">
        <v>283</v>
      </c>
      <c r="K39" s="4">
        <v>2.2400000000000002</v>
      </c>
      <c r="L39" s="4"/>
    </row>
    <row r="40" spans="1:12" x14ac:dyDescent="0.2">
      <c r="A40" s="4" t="s">
        <v>73</v>
      </c>
      <c r="B40" s="4">
        <v>320</v>
      </c>
      <c r="C40" s="4">
        <v>550</v>
      </c>
      <c r="D40" s="4">
        <v>9.7100000000000009</v>
      </c>
      <c r="E40" s="4">
        <v>7.97</v>
      </c>
      <c r="F40" s="4">
        <v>3.16</v>
      </c>
      <c r="G40" s="4">
        <v>1150</v>
      </c>
      <c r="H40" s="4">
        <v>6000</v>
      </c>
      <c r="J40" s="4">
        <v>235</v>
      </c>
      <c r="K40" s="4">
        <v>2</v>
      </c>
      <c r="L40" s="4"/>
    </row>
    <row r="41" spans="1:12" x14ac:dyDescent="0.2">
      <c r="A41" s="4" t="s">
        <v>74</v>
      </c>
      <c r="B41" s="4">
        <v>335</v>
      </c>
      <c r="C41" s="4">
        <v>1000</v>
      </c>
      <c r="D41" s="4">
        <v>8.82</v>
      </c>
      <c r="E41" s="4">
        <v>7.22</v>
      </c>
      <c r="F41" s="4">
        <v>2.4700000000000002</v>
      </c>
      <c r="G41" s="4">
        <v>1390</v>
      </c>
      <c r="H41" s="4">
        <v>6500</v>
      </c>
      <c r="J41" s="4">
        <v>268</v>
      </c>
      <c r="L41" s="4"/>
    </row>
    <row r="42" spans="1:12" x14ac:dyDescent="0.2">
      <c r="A42" s="3" t="s">
        <v>257</v>
      </c>
      <c r="B42" s="3">
        <v>337</v>
      </c>
      <c r="C42" s="3">
        <v>2018</v>
      </c>
      <c r="D42" s="3">
        <v>8.35</v>
      </c>
      <c r="E42" s="3">
        <v>7.1</v>
      </c>
      <c r="F42" s="3">
        <v>2.41</v>
      </c>
      <c r="G42" s="3">
        <v>1350</v>
      </c>
      <c r="H42" s="3">
        <v>5790</v>
      </c>
      <c r="J42" s="3">
        <v>194</v>
      </c>
      <c r="K42" s="3">
        <f>24*70/1000</f>
        <v>1.68</v>
      </c>
    </row>
    <row r="43" spans="1:12" x14ac:dyDescent="0.2">
      <c r="A43" s="3" t="s">
        <v>262</v>
      </c>
      <c r="B43" s="3">
        <v>520</v>
      </c>
      <c r="C43" s="3">
        <v>1666</v>
      </c>
      <c r="D43" s="3">
        <v>10.59</v>
      </c>
      <c r="E43" s="3">
        <v>10.26</v>
      </c>
      <c r="F43" s="3">
        <v>3.68</v>
      </c>
      <c r="G43" s="3">
        <v>3205</v>
      </c>
      <c r="H43" s="3">
        <v>11280</v>
      </c>
      <c r="J43" s="3">
        <v>708</v>
      </c>
    </row>
    <row r="44" spans="1:12" x14ac:dyDescent="0.2">
      <c r="A44" s="3" t="s">
        <v>264</v>
      </c>
      <c r="B44" s="3">
        <v>556</v>
      </c>
      <c r="C44" s="3">
        <v>1500</v>
      </c>
      <c r="D44" s="3">
        <v>10.18</v>
      </c>
      <c r="E44" s="3">
        <v>10.130000000000001</v>
      </c>
      <c r="F44" s="3">
        <v>3.26</v>
      </c>
      <c r="G44" s="3">
        <v>2250</v>
      </c>
      <c r="J44" s="3">
        <v>522</v>
      </c>
      <c r="K44" s="3">
        <f>200*24/1000</f>
        <v>4.8</v>
      </c>
    </row>
    <row r="45" spans="1:12" x14ac:dyDescent="0.2">
      <c r="A45" s="3" t="s">
        <v>265</v>
      </c>
      <c r="B45" s="3">
        <v>624</v>
      </c>
      <c r="C45" s="3">
        <v>1333</v>
      </c>
      <c r="D45" s="3">
        <v>9.11</v>
      </c>
      <c r="E45" s="3">
        <v>11.23</v>
      </c>
      <c r="F45" s="3">
        <v>3.75</v>
      </c>
      <c r="G45" s="3">
        <v>4250</v>
      </c>
      <c r="H45" s="3">
        <v>11580</v>
      </c>
      <c r="J45" s="3">
        <v>1193</v>
      </c>
    </row>
    <row r="46" spans="1:12" x14ac:dyDescent="0.2">
      <c r="A46" s="3" t="s">
        <v>383</v>
      </c>
      <c r="B46" s="3">
        <v>435</v>
      </c>
      <c r="C46" s="3">
        <v>1518</v>
      </c>
      <c r="D46" s="3">
        <v>10</v>
      </c>
      <c r="E46" s="3">
        <v>10.16</v>
      </c>
      <c r="F46" s="3">
        <v>3.2</v>
      </c>
      <c r="G46" s="3">
        <v>2600</v>
      </c>
      <c r="H46" s="3">
        <v>8230</v>
      </c>
      <c r="J46" s="3">
        <v>410</v>
      </c>
    </row>
    <row r="47" spans="1:12" x14ac:dyDescent="0.2">
      <c r="A47" s="3" t="s">
        <v>480</v>
      </c>
      <c r="B47" s="3">
        <v>426</v>
      </c>
      <c r="C47" s="3">
        <v>1200</v>
      </c>
      <c r="D47" s="3">
        <v>11.74</v>
      </c>
      <c r="E47" s="3">
        <v>10.75</v>
      </c>
      <c r="F47" s="3">
        <v>3.38</v>
      </c>
      <c r="G47" s="3">
        <v>1700</v>
      </c>
      <c r="H47" s="3">
        <v>7010</v>
      </c>
    </row>
    <row r="48" spans="1:12" x14ac:dyDescent="0.2">
      <c r="A48" s="3" t="s">
        <v>390</v>
      </c>
      <c r="B48" s="3">
        <v>380</v>
      </c>
      <c r="C48" s="3">
        <v>1681</v>
      </c>
      <c r="D48" s="3">
        <v>9.14</v>
      </c>
      <c r="E48" s="3">
        <v>7.97</v>
      </c>
      <c r="F48" s="3">
        <v>2.76</v>
      </c>
      <c r="G48" s="3">
        <v>1555</v>
      </c>
      <c r="H48" s="3">
        <v>4875</v>
      </c>
      <c r="J48" s="3">
        <v>235</v>
      </c>
    </row>
    <row r="49" spans="1:11" x14ac:dyDescent="0.2">
      <c r="A49" s="3" t="s">
        <v>481</v>
      </c>
      <c r="B49" s="3">
        <v>557</v>
      </c>
      <c r="C49" s="3">
        <v>1568</v>
      </c>
      <c r="D49" s="3">
        <v>11.14</v>
      </c>
      <c r="E49" s="3">
        <v>11.38</v>
      </c>
      <c r="F49" s="3">
        <v>3.97</v>
      </c>
      <c r="G49" s="3">
        <v>3190</v>
      </c>
      <c r="H49" s="3">
        <v>10670</v>
      </c>
      <c r="J49" s="3">
        <v>1193</v>
      </c>
      <c r="K49" s="3">
        <v>6</v>
      </c>
    </row>
    <row r="50" spans="1:11" x14ac:dyDescent="0.2">
      <c r="A50" s="3" t="s">
        <v>489</v>
      </c>
      <c r="B50" s="3">
        <v>500</v>
      </c>
      <c r="C50" s="3">
        <v>1600</v>
      </c>
      <c r="D50" s="3">
        <v>9.6</v>
      </c>
      <c r="E50" s="3">
        <v>8.6</v>
      </c>
      <c r="F50" s="3">
        <v>3.2</v>
      </c>
      <c r="G50" s="3">
        <v>1425</v>
      </c>
      <c r="H50" s="3">
        <v>8000</v>
      </c>
      <c r="J50" s="3">
        <v>746</v>
      </c>
      <c r="K50" s="3">
        <v>6</v>
      </c>
    </row>
    <row r="51" spans="1:11" x14ac:dyDescent="0.2">
      <c r="A51" s="3" t="s">
        <v>490</v>
      </c>
      <c r="B51" s="3">
        <v>593</v>
      </c>
      <c r="C51" s="3">
        <v>1972</v>
      </c>
      <c r="D51" s="3">
        <v>10.18</v>
      </c>
      <c r="E51" s="3">
        <v>10.130000000000001</v>
      </c>
      <c r="F51" s="3">
        <v>3.26</v>
      </c>
      <c r="G51" s="3">
        <v>2350</v>
      </c>
      <c r="H51" s="3">
        <v>11580</v>
      </c>
      <c r="J51" s="3">
        <v>857</v>
      </c>
      <c r="K51" s="3">
        <f>30*300/1000</f>
        <v>9</v>
      </c>
    </row>
    <row r="52" spans="1:11" x14ac:dyDescent="0.2">
      <c r="A52" s="3" t="s">
        <v>491</v>
      </c>
      <c r="B52" s="3">
        <v>574</v>
      </c>
      <c r="C52" s="3">
        <v>1477</v>
      </c>
      <c r="D52" s="3">
        <v>9.9649999999999999</v>
      </c>
      <c r="E52" s="3">
        <v>11.175000000000001</v>
      </c>
      <c r="F52" s="3">
        <v>3.7050000000000001</v>
      </c>
      <c r="G52" s="3">
        <v>3200</v>
      </c>
      <c r="H52" s="3">
        <v>10575</v>
      </c>
      <c r="J52" s="3">
        <v>1193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2">
    <tabColor rgb="FF92D050"/>
  </sheetPr>
  <dimension ref="A1:L32"/>
  <sheetViews>
    <sheetView zoomScale="80" zoomScaleNormal="80" zoomScalePageLayoutView="80" workbookViewId="0">
      <selection activeCell="A12" sqref="A12:A32"/>
    </sheetView>
  </sheetViews>
  <sheetFormatPr defaultColWidth="8.85546875" defaultRowHeight="15" x14ac:dyDescent="0.2"/>
  <cols>
    <col min="1" max="1" width="44.140625" style="3" bestFit="1" customWidth="1"/>
    <col min="2" max="2" width="29.140625" style="3" bestFit="1" customWidth="1"/>
    <col min="3" max="3" width="14.28515625" style="3" bestFit="1" customWidth="1"/>
    <col min="4" max="4" width="17" style="3" bestFit="1" customWidth="1"/>
    <col min="5" max="5" width="13.42578125" style="3" bestFit="1" customWidth="1"/>
    <col min="6" max="6" width="12.85546875" style="3" bestFit="1" customWidth="1"/>
    <col min="7" max="7" width="13.42578125" style="3" bestFit="1" customWidth="1"/>
    <col min="8" max="8" width="25" style="3" bestFit="1" customWidth="1"/>
    <col min="9" max="9" width="18.140625" style="3" bestFit="1" customWidth="1"/>
    <col min="10" max="10" width="27.28515625" style="3" bestFit="1" customWidth="1"/>
    <col min="11" max="11" width="31.28515625" style="3" bestFit="1" customWidth="1"/>
    <col min="12" max="16384" width="8.85546875" style="3"/>
  </cols>
  <sheetData>
    <row r="1" spans="1:12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19</v>
      </c>
      <c r="I1" s="2" t="s">
        <v>20</v>
      </c>
      <c r="J1" s="2" t="s">
        <v>7</v>
      </c>
      <c r="K1" s="2" t="s">
        <v>8</v>
      </c>
    </row>
    <row r="2" spans="1:12" s="8" customFormat="1" x14ac:dyDescent="0.2">
      <c r="A2" s="8" t="s">
        <v>75</v>
      </c>
      <c r="B2" s="7">
        <v>667</v>
      </c>
      <c r="C2" s="7">
        <v>13890</v>
      </c>
      <c r="D2" s="7">
        <v>60.3</v>
      </c>
      <c r="E2" s="7">
        <v>58.8</v>
      </c>
      <c r="F2" s="7">
        <v>17.399999999999999</v>
      </c>
      <c r="G2" s="7">
        <v>233900</v>
      </c>
      <c r="H2" s="7">
        <v>12600</v>
      </c>
      <c r="I2" s="7">
        <v>632</v>
      </c>
      <c r="J2" s="7"/>
      <c r="K2" s="7">
        <v>258.75</v>
      </c>
    </row>
    <row r="3" spans="1:12" x14ac:dyDescent="0.2">
      <c r="A3" s="3" t="s">
        <v>76</v>
      </c>
      <c r="B3" s="4">
        <v>648</v>
      </c>
      <c r="C3" s="4">
        <v>7778</v>
      </c>
      <c r="D3" s="4">
        <v>50.29</v>
      </c>
      <c r="E3" s="4">
        <v>53.04</v>
      </c>
      <c r="F3" s="4">
        <v>16.79</v>
      </c>
      <c r="G3" s="4">
        <v>265350</v>
      </c>
      <c r="H3" s="4">
        <v>13715</v>
      </c>
      <c r="I3" s="4">
        <v>719.6</v>
      </c>
      <c r="J3" s="4"/>
      <c r="K3" s="4">
        <v>202.5</v>
      </c>
    </row>
    <row r="4" spans="1:12" x14ac:dyDescent="0.2">
      <c r="A4" s="3" t="s">
        <v>267</v>
      </c>
      <c r="B4" s="4">
        <v>861</v>
      </c>
      <c r="C4" s="4">
        <v>5037</v>
      </c>
      <c r="D4" s="4">
        <v>35.049999999999997</v>
      </c>
      <c r="E4" s="4">
        <v>35.200000000000003</v>
      </c>
      <c r="F4" s="4">
        <v>11.84</v>
      </c>
      <c r="G4" s="4">
        <v>80978</v>
      </c>
      <c r="H4" s="4">
        <v>10975</v>
      </c>
      <c r="I4" s="4">
        <f>2*120</f>
        <v>240</v>
      </c>
      <c r="J4" s="4"/>
      <c r="K4" s="4">
        <f>90*0.75</f>
        <v>67.5</v>
      </c>
    </row>
    <row r="5" spans="1:12" x14ac:dyDescent="0.2">
      <c r="A5" s="3" t="s">
        <v>271</v>
      </c>
      <c r="B5" s="4">
        <v>796</v>
      </c>
      <c r="C5" s="4">
        <v>4000</v>
      </c>
      <c r="D5" s="4">
        <v>49.32</v>
      </c>
      <c r="E5" s="4">
        <v>47.06</v>
      </c>
      <c r="F5" s="4">
        <v>15</v>
      </c>
      <c r="G5" s="4">
        <v>220000</v>
      </c>
      <c r="H5" s="4">
        <v>13000</v>
      </c>
      <c r="I5" s="4">
        <f>4*118</f>
        <v>472</v>
      </c>
      <c r="J5" s="4"/>
      <c r="K5" s="4"/>
    </row>
    <row r="6" spans="1:12" x14ac:dyDescent="0.2">
      <c r="A6" s="3" t="s">
        <v>273</v>
      </c>
      <c r="B6" s="4">
        <v>988</v>
      </c>
      <c r="C6" s="4">
        <v>6500</v>
      </c>
      <c r="D6" s="4">
        <v>44.4</v>
      </c>
      <c r="E6" s="4">
        <v>43.9</v>
      </c>
      <c r="F6" s="4">
        <v>14.2</v>
      </c>
      <c r="G6" s="4">
        <v>141000</v>
      </c>
      <c r="H6" s="4">
        <v>12190</v>
      </c>
      <c r="I6" s="4">
        <f>2*228</f>
        <v>456</v>
      </c>
      <c r="J6" s="4"/>
      <c r="K6" s="4"/>
    </row>
    <row r="7" spans="1:12" x14ac:dyDescent="0.2">
      <c r="A7" s="3" t="s">
        <v>275</v>
      </c>
      <c r="B7" s="3">
        <v>780</v>
      </c>
      <c r="C7" s="3">
        <v>5300</v>
      </c>
      <c r="D7" s="3">
        <v>50.5</v>
      </c>
      <c r="E7" s="3">
        <v>46.6</v>
      </c>
      <c r="F7" s="3">
        <v>14.16</v>
      </c>
      <c r="G7" s="3">
        <v>210000</v>
      </c>
      <c r="H7" s="3">
        <v>12100</v>
      </c>
      <c r="I7" s="3">
        <f>4*142</f>
        <v>568</v>
      </c>
    </row>
    <row r="8" spans="1:12" x14ac:dyDescent="0.2">
      <c r="A8" s="3" t="s">
        <v>276</v>
      </c>
      <c r="B8" s="4">
        <v>849</v>
      </c>
      <c r="C8" s="4">
        <v>12325</v>
      </c>
      <c r="D8" s="4">
        <v>47.57</v>
      </c>
      <c r="E8" s="4">
        <v>48.51</v>
      </c>
      <c r="F8" s="4">
        <v>15.85</v>
      </c>
      <c r="G8" s="4">
        <v>179170</v>
      </c>
      <c r="H8" s="4">
        <v>10670</v>
      </c>
      <c r="I8" s="4">
        <v>552</v>
      </c>
      <c r="J8" s="4"/>
      <c r="K8" s="4">
        <v>202.5</v>
      </c>
    </row>
    <row r="9" spans="1:12" x14ac:dyDescent="0.2">
      <c r="A9" s="3" t="s">
        <v>493</v>
      </c>
      <c r="B9" s="4">
        <v>796</v>
      </c>
      <c r="C9" s="4">
        <v>4000</v>
      </c>
      <c r="D9" s="4">
        <v>49.32</v>
      </c>
      <c r="E9" s="4">
        <v>47.06</v>
      </c>
      <c r="F9" s="4">
        <v>15</v>
      </c>
      <c r="G9" s="4">
        <v>220000</v>
      </c>
      <c r="H9" s="4">
        <v>13000</v>
      </c>
      <c r="I9" s="4">
        <f>4*118</f>
        <v>472</v>
      </c>
      <c r="J9" s="4"/>
      <c r="K9" s="4"/>
    </row>
    <row r="10" spans="1:12" x14ac:dyDescent="0.2">
      <c r="A10" s="3" t="s">
        <v>499</v>
      </c>
      <c r="B10" s="3">
        <v>870</v>
      </c>
      <c r="C10" s="3">
        <v>3500</v>
      </c>
      <c r="D10" s="3">
        <v>35.5</v>
      </c>
      <c r="E10" s="3">
        <v>37.69</v>
      </c>
      <c r="F10" s="3">
        <v>12.95</v>
      </c>
      <c r="G10" s="3">
        <v>68000</v>
      </c>
      <c r="H10" s="3">
        <v>11000</v>
      </c>
      <c r="I10" s="3">
        <f>2*157</f>
        <v>314</v>
      </c>
    </row>
    <row r="11" spans="1:12" x14ac:dyDescent="0.2"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2" x14ac:dyDescent="0.2">
      <c r="A12" s="4" t="s">
        <v>77</v>
      </c>
      <c r="B12" s="4">
        <v>556</v>
      </c>
      <c r="C12" s="4">
        <v>4539</v>
      </c>
      <c r="D12" s="4">
        <v>42.36</v>
      </c>
      <c r="E12" s="4">
        <v>45.09</v>
      </c>
      <c r="F12" s="4">
        <v>14.68</v>
      </c>
      <c r="G12" s="4">
        <v>137500</v>
      </c>
      <c r="H12" s="4">
        <v>11280</v>
      </c>
      <c r="J12" s="4">
        <v>38776</v>
      </c>
      <c r="K12" s="3">
        <v>225</v>
      </c>
      <c r="L12" s="4"/>
    </row>
    <row r="13" spans="1:12" x14ac:dyDescent="0.2">
      <c r="A13" s="4" t="s">
        <v>78</v>
      </c>
      <c r="B13" s="4">
        <v>750</v>
      </c>
      <c r="C13" s="4">
        <v>2998</v>
      </c>
      <c r="D13" s="4">
        <v>44.06</v>
      </c>
      <c r="E13" s="4">
        <v>40.549999999999997</v>
      </c>
      <c r="F13" s="4">
        <v>16.2</v>
      </c>
      <c r="G13" s="4">
        <v>145000</v>
      </c>
      <c r="H13" s="4"/>
      <c r="J13" s="4">
        <v>41160</v>
      </c>
      <c r="L13" s="4"/>
    </row>
    <row r="14" spans="1:12" x14ac:dyDescent="0.2">
      <c r="A14" s="4" t="s">
        <v>79</v>
      </c>
      <c r="B14" s="4">
        <v>657</v>
      </c>
      <c r="C14" s="4">
        <v>5244</v>
      </c>
      <c r="D14" s="4">
        <v>40.409999999999997</v>
      </c>
      <c r="E14" s="4">
        <v>34.369999999999997</v>
      </c>
      <c r="F14" s="4">
        <v>11.81</v>
      </c>
      <c r="G14" s="4">
        <v>79380</v>
      </c>
      <c r="H14" s="4">
        <v>9315</v>
      </c>
      <c r="J14" s="4">
        <v>13696</v>
      </c>
      <c r="K14" s="3">
        <v>202.5</v>
      </c>
      <c r="L14" s="4"/>
    </row>
    <row r="15" spans="1:12" x14ac:dyDescent="0.2">
      <c r="A15" s="4" t="s">
        <v>80</v>
      </c>
      <c r="B15" s="4">
        <v>482</v>
      </c>
      <c r="C15" s="4">
        <v>1555</v>
      </c>
      <c r="D15" s="4">
        <v>25.81</v>
      </c>
      <c r="E15" s="4">
        <v>24.45</v>
      </c>
      <c r="F15" s="4">
        <v>8.66</v>
      </c>
      <c r="G15" s="4">
        <v>21000</v>
      </c>
      <c r="H15" s="4">
        <v>9145</v>
      </c>
      <c r="J15" s="4">
        <v>4354</v>
      </c>
      <c r="L15" s="4"/>
    </row>
    <row r="16" spans="1:12" x14ac:dyDescent="0.2">
      <c r="A16" s="4" t="s">
        <v>81</v>
      </c>
      <c r="B16" s="4">
        <v>454</v>
      </c>
      <c r="C16" s="4">
        <v>5059</v>
      </c>
      <c r="D16" s="4">
        <v>25.81</v>
      </c>
      <c r="E16" s="4">
        <v>21.4</v>
      </c>
      <c r="F16" s="4">
        <v>8.18</v>
      </c>
      <c r="G16" s="4">
        <v>16500</v>
      </c>
      <c r="H16" s="4">
        <v>9145</v>
      </c>
      <c r="J16" s="4">
        <v>2789</v>
      </c>
      <c r="K16" s="3">
        <v>22.4</v>
      </c>
      <c r="L16" s="4"/>
    </row>
    <row r="17" spans="1:12" x14ac:dyDescent="0.2">
      <c r="A17" s="4" t="s">
        <v>82</v>
      </c>
      <c r="B17" s="4">
        <v>583</v>
      </c>
      <c r="C17" s="4">
        <v>2148</v>
      </c>
      <c r="D17" s="4">
        <v>28.7</v>
      </c>
      <c r="E17" s="4">
        <v>22.7</v>
      </c>
      <c r="F17" s="4">
        <v>10.57</v>
      </c>
      <c r="G17" s="4">
        <v>31800</v>
      </c>
      <c r="H17" s="4">
        <v>9145</v>
      </c>
      <c r="J17" s="4">
        <v>6916</v>
      </c>
      <c r="K17" s="3">
        <v>135</v>
      </c>
      <c r="L17" s="4"/>
    </row>
    <row r="18" spans="1:12" x14ac:dyDescent="0.2">
      <c r="A18" s="4" t="s">
        <v>83</v>
      </c>
      <c r="B18" s="4">
        <v>530</v>
      </c>
      <c r="C18" s="4">
        <v>1444</v>
      </c>
      <c r="D18" s="4">
        <v>29.2</v>
      </c>
      <c r="E18" s="4">
        <v>23.68</v>
      </c>
      <c r="F18" s="4">
        <v>8.75</v>
      </c>
      <c r="G18" s="4">
        <v>27000</v>
      </c>
      <c r="H18" s="4">
        <v>9400</v>
      </c>
      <c r="J18" s="4">
        <v>6986</v>
      </c>
      <c r="L18" s="4"/>
    </row>
    <row r="19" spans="1:12" x14ac:dyDescent="0.2">
      <c r="A19" s="4" t="s">
        <v>84</v>
      </c>
      <c r="B19" s="4">
        <v>320</v>
      </c>
      <c r="C19" s="4">
        <v>2000</v>
      </c>
      <c r="D19" s="4">
        <v>16.510000000000002</v>
      </c>
      <c r="E19" s="4">
        <v>14.5</v>
      </c>
      <c r="F19" s="4">
        <v>5.51</v>
      </c>
      <c r="G19" s="4">
        <v>4264</v>
      </c>
      <c r="H19" s="4"/>
      <c r="J19" s="4">
        <v>626</v>
      </c>
      <c r="L19" s="4"/>
    </row>
    <row r="20" spans="1:12" x14ac:dyDescent="0.2">
      <c r="A20" s="4" t="s">
        <v>85</v>
      </c>
      <c r="B20" s="4">
        <v>337</v>
      </c>
      <c r="C20" s="4">
        <v>1442</v>
      </c>
      <c r="D20" s="4">
        <v>19.809999999999999</v>
      </c>
      <c r="E20" s="4">
        <v>15.77</v>
      </c>
      <c r="F20" s="4">
        <v>5.94</v>
      </c>
      <c r="G20" s="4">
        <v>5670</v>
      </c>
      <c r="H20" s="4">
        <v>7620</v>
      </c>
      <c r="J20" s="4">
        <v>928</v>
      </c>
      <c r="K20" s="3">
        <v>1.3440000000000001</v>
      </c>
      <c r="L20" s="4"/>
    </row>
    <row r="21" spans="1:12" x14ac:dyDescent="0.2">
      <c r="A21" s="3" t="s">
        <v>268</v>
      </c>
      <c r="B21" s="3">
        <v>344</v>
      </c>
      <c r="C21" s="3">
        <v>1309</v>
      </c>
      <c r="D21" s="3">
        <v>17.239999999999998</v>
      </c>
      <c r="E21" s="3">
        <v>14.86</v>
      </c>
      <c r="F21" s="3">
        <v>5.68</v>
      </c>
      <c r="G21" s="3">
        <v>5300</v>
      </c>
      <c r="H21" s="3">
        <v>7000</v>
      </c>
      <c r="J21" s="3">
        <f>2*462</f>
        <v>924</v>
      </c>
      <c r="K21" s="3">
        <v>12</v>
      </c>
    </row>
    <row r="22" spans="1:12" x14ac:dyDescent="0.2">
      <c r="A22" s="3" t="s">
        <v>269</v>
      </c>
      <c r="B22" s="3">
        <v>661</v>
      </c>
      <c r="C22" s="3">
        <v>2083</v>
      </c>
      <c r="D22" s="3">
        <v>38</v>
      </c>
      <c r="E22" s="3">
        <v>34.020000000000003</v>
      </c>
      <c r="F22" s="3">
        <v>11.16</v>
      </c>
      <c r="G22" s="3">
        <v>61000</v>
      </c>
      <c r="H22" s="3">
        <v>10400</v>
      </c>
      <c r="J22" s="3">
        <f>4*3126</f>
        <v>12504</v>
      </c>
      <c r="K22" s="3">
        <f>8*12</f>
        <v>96</v>
      </c>
    </row>
    <row r="23" spans="1:12" x14ac:dyDescent="0.2">
      <c r="A23" s="3" t="s">
        <v>270</v>
      </c>
      <c r="B23" s="3">
        <v>650</v>
      </c>
      <c r="C23" s="3">
        <v>2200</v>
      </c>
      <c r="D23" s="3">
        <v>38</v>
      </c>
      <c r="E23" s="3">
        <v>36.07</v>
      </c>
      <c r="F23" s="3">
        <v>11.3</v>
      </c>
      <c r="G23" s="3">
        <v>65000</v>
      </c>
      <c r="H23" s="3">
        <v>8000</v>
      </c>
      <c r="J23" s="3">
        <f>4*3803</f>
        <v>15212</v>
      </c>
      <c r="K23" s="3">
        <v>96</v>
      </c>
    </row>
    <row r="24" spans="1:12" x14ac:dyDescent="0.2">
      <c r="A24" s="3" t="s">
        <v>272</v>
      </c>
      <c r="B24" s="3">
        <v>428</v>
      </c>
      <c r="C24" s="3">
        <v>2148</v>
      </c>
      <c r="D24" s="3">
        <v>16.97</v>
      </c>
      <c r="E24" s="3">
        <v>16.559999999999999</v>
      </c>
      <c r="F24" s="3">
        <v>4.8600000000000003</v>
      </c>
      <c r="G24" s="3">
        <v>6400</v>
      </c>
      <c r="H24" s="3">
        <v>8535</v>
      </c>
      <c r="J24" s="3">
        <f>2*533</f>
        <v>1066</v>
      </c>
      <c r="K24" s="3">
        <f>2*28*250/1000</f>
        <v>14</v>
      </c>
    </row>
    <row r="25" spans="1:12" x14ac:dyDescent="0.2">
      <c r="A25" s="3" t="s">
        <v>246</v>
      </c>
      <c r="B25" s="3">
        <v>361</v>
      </c>
      <c r="C25" s="3">
        <v>1324</v>
      </c>
      <c r="D25" s="3">
        <v>20.27</v>
      </c>
      <c r="E25" s="3">
        <v>16.149999999999999</v>
      </c>
      <c r="F25" s="3">
        <v>6.6</v>
      </c>
      <c r="G25" s="3">
        <v>8100</v>
      </c>
      <c r="H25" s="3">
        <v>7925</v>
      </c>
      <c r="J25" s="3">
        <f>2*690</f>
        <v>1380</v>
      </c>
      <c r="K25" s="3">
        <v>18</v>
      </c>
    </row>
    <row r="26" spans="1:12" x14ac:dyDescent="0.2">
      <c r="A26" s="3" t="s">
        <v>274</v>
      </c>
      <c r="B26" s="3">
        <v>350</v>
      </c>
      <c r="C26" s="3">
        <v>1498</v>
      </c>
      <c r="D26" s="3">
        <v>22.07</v>
      </c>
      <c r="E26" s="3">
        <v>13.1</v>
      </c>
      <c r="F26" s="3">
        <v>4.9000000000000004</v>
      </c>
      <c r="G26" s="3">
        <v>7500</v>
      </c>
      <c r="H26" s="3">
        <v>6000</v>
      </c>
      <c r="J26" s="3">
        <f>2*716</f>
        <v>1432</v>
      </c>
    </row>
    <row r="27" spans="1:12" x14ac:dyDescent="0.2">
      <c r="A27" s="3" t="s">
        <v>494</v>
      </c>
      <c r="B27" s="3">
        <v>343</v>
      </c>
      <c r="C27" s="3">
        <v>442</v>
      </c>
      <c r="D27" s="3">
        <v>19.98</v>
      </c>
      <c r="E27" s="3">
        <v>14.423999999999999</v>
      </c>
      <c r="F27" s="3">
        <v>5.9690000000000003</v>
      </c>
      <c r="G27" s="3">
        <v>6600</v>
      </c>
      <c r="H27" s="3">
        <v>8380</v>
      </c>
      <c r="J27" s="3">
        <f>2*559</f>
        <v>1118</v>
      </c>
      <c r="K27" s="3">
        <v>11.2</v>
      </c>
    </row>
    <row r="28" spans="1:12" x14ac:dyDescent="0.2">
      <c r="A28" s="3" t="s">
        <v>495</v>
      </c>
      <c r="B28" s="3">
        <v>444</v>
      </c>
      <c r="C28" s="3">
        <v>1833</v>
      </c>
      <c r="D28" s="3">
        <v>16.97</v>
      </c>
      <c r="E28" s="3">
        <v>16.559999999999999</v>
      </c>
      <c r="F28" s="3">
        <v>4.8600000000000003</v>
      </c>
      <c r="G28" s="3">
        <v>6400</v>
      </c>
      <c r="H28" s="3">
        <v>7620</v>
      </c>
      <c r="J28" s="3">
        <f>2*579</f>
        <v>1158</v>
      </c>
    </row>
    <row r="29" spans="1:12" x14ac:dyDescent="0.2">
      <c r="A29" s="3" t="s">
        <v>496</v>
      </c>
      <c r="B29" s="4">
        <v>550</v>
      </c>
      <c r="C29" s="4">
        <v>1400</v>
      </c>
      <c r="D29" s="4">
        <v>14.7</v>
      </c>
      <c r="E29" s="4">
        <v>5.2</v>
      </c>
      <c r="F29" s="4">
        <v>15.02</v>
      </c>
      <c r="G29" s="4">
        <v>6100</v>
      </c>
      <c r="H29" s="4">
        <v>9100</v>
      </c>
      <c r="I29" s="4"/>
      <c r="J29" s="4">
        <f>2*634</f>
        <v>1268</v>
      </c>
      <c r="K29" s="4">
        <v>24</v>
      </c>
    </row>
    <row r="30" spans="1:12" x14ac:dyDescent="0.2">
      <c r="A30" s="3" t="s">
        <v>497</v>
      </c>
      <c r="B30" s="3">
        <v>361</v>
      </c>
      <c r="C30" s="3">
        <v>1324</v>
      </c>
      <c r="D30" s="3">
        <v>20.27</v>
      </c>
      <c r="E30" s="3">
        <v>16.149999999999999</v>
      </c>
      <c r="F30" s="3">
        <v>6.6</v>
      </c>
      <c r="G30" s="3">
        <v>8100</v>
      </c>
      <c r="H30" s="3">
        <v>7925</v>
      </c>
      <c r="J30" s="3">
        <f>2*690</f>
        <v>1380</v>
      </c>
      <c r="K30" s="3">
        <v>18</v>
      </c>
    </row>
    <row r="31" spans="1:12" x14ac:dyDescent="0.2">
      <c r="A31" s="3" t="s">
        <v>498</v>
      </c>
      <c r="B31" s="3">
        <v>389</v>
      </c>
      <c r="C31" s="3">
        <v>889</v>
      </c>
      <c r="D31" s="3">
        <v>19.5</v>
      </c>
      <c r="E31" s="3">
        <v>16.495000000000001</v>
      </c>
      <c r="F31" s="3">
        <v>6.18</v>
      </c>
      <c r="G31" s="3">
        <v>7030</v>
      </c>
      <c r="H31" s="3">
        <v>3050</v>
      </c>
      <c r="J31" s="3">
        <f>2*634</f>
        <v>1268</v>
      </c>
    </row>
    <row r="32" spans="1:12" x14ac:dyDescent="0.2">
      <c r="A32" s="3" t="s">
        <v>500</v>
      </c>
      <c r="B32" s="3">
        <v>356</v>
      </c>
      <c r="C32" s="3">
        <v>407</v>
      </c>
      <c r="D32" s="3">
        <v>22.065000000000001</v>
      </c>
      <c r="E32" s="3">
        <v>13.1</v>
      </c>
      <c r="F32" s="3">
        <v>4.9000000000000004</v>
      </c>
      <c r="G32" s="3">
        <v>7500</v>
      </c>
      <c r="H32" s="3">
        <v>7620</v>
      </c>
      <c r="J32" s="3">
        <v>1640</v>
      </c>
      <c r="K32" s="3">
        <v>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5">
    <tabColor rgb="FF92D050"/>
  </sheetPr>
  <dimension ref="A1:L50"/>
  <sheetViews>
    <sheetView topLeftCell="A2" zoomScale="80" zoomScaleNormal="80" zoomScalePageLayoutView="80" workbookViewId="0">
      <selection activeCell="A46" sqref="A46:A50"/>
    </sheetView>
  </sheetViews>
  <sheetFormatPr defaultColWidth="8.85546875" defaultRowHeight="15" x14ac:dyDescent="0.2"/>
  <cols>
    <col min="1" max="1" width="33.85546875" style="3" bestFit="1" customWidth="1"/>
    <col min="2" max="2" width="29.140625" style="3" bestFit="1" customWidth="1"/>
    <col min="3" max="3" width="14.28515625" style="3" bestFit="1" customWidth="1"/>
    <col min="4" max="4" width="17" style="3" bestFit="1" customWidth="1"/>
    <col min="5" max="5" width="13.42578125" style="3" bestFit="1" customWidth="1"/>
    <col min="6" max="6" width="12.85546875" style="3" bestFit="1" customWidth="1"/>
    <col min="7" max="7" width="13.42578125" style="3" bestFit="1" customWidth="1"/>
    <col min="8" max="8" width="25" style="3" bestFit="1" customWidth="1"/>
    <col min="9" max="9" width="18.140625" style="3" bestFit="1" customWidth="1"/>
    <col min="10" max="10" width="27.28515625" style="3" bestFit="1" customWidth="1"/>
    <col min="11" max="11" width="31.28515625" style="3" bestFit="1" customWidth="1"/>
    <col min="12" max="16384" width="8.85546875" style="3"/>
  </cols>
  <sheetData>
    <row r="1" spans="1:12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19</v>
      </c>
      <c r="I1" s="2" t="s">
        <v>20</v>
      </c>
      <c r="J1" s="2" t="s">
        <v>7</v>
      </c>
      <c r="K1" s="2" t="s">
        <v>8</v>
      </c>
    </row>
    <row r="2" spans="1:12" x14ac:dyDescent="0.2">
      <c r="A2" s="4" t="s">
        <v>508</v>
      </c>
      <c r="B2" s="3">
        <v>1098</v>
      </c>
      <c r="C2" s="4">
        <v>14816</v>
      </c>
      <c r="D2" s="4">
        <v>79.8</v>
      </c>
      <c r="E2" s="4">
        <v>72.8</v>
      </c>
      <c r="F2" s="4">
        <v>24.1</v>
      </c>
      <c r="G2" s="4">
        <v>560000</v>
      </c>
      <c r="H2" s="4">
        <v>13100</v>
      </c>
      <c r="I2" s="4">
        <v>1428</v>
      </c>
      <c r="J2" s="4"/>
      <c r="K2" s="4">
        <v>675</v>
      </c>
    </row>
    <row r="3" spans="1:12" x14ac:dyDescent="0.2">
      <c r="A3" s="4" t="s">
        <v>509</v>
      </c>
      <c r="B3" s="4">
        <v>1098</v>
      </c>
      <c r="C3" s="3">
        <v>10371</v>
      </c>
      <c r="D3" s="4">
        <v>79.8</v>
      </c>
      <c r="E3" s="4">
        <v>72.8</v>
      </c>
      <c r="F3" s="4">
        <v>24.1</v>
      </c>
      <c r="G3" s="3">
        <v>590000</v>
      </c>
      <c r="H3" s="3">
        <v>13100</v>
      </c>
      <c r="I3" s="3">
        <f>357*4</f>
        <v>1428</v>
      </c>
      <c r="K3" s="3">
        <f>180*5*0.75</f>
        <v>675</v>
      </c>
    </row>
    <row r="4" spans="1:12" x14ac:dyDescent="0.2">
      <c r="A4" s="4" t="s">
        <v>506</v>
      </c>
      <c r="B4" s="4">
        <v>1098</v>
      </c>
      <c r="C4" s="4">
        <v>15001</v>
      </c>
      <c r="D4" s="4">
        <v>64.75</v>
      </c>
      <c r="E4" s="4">
        <v>60.54</v>
      </c>
      <c r="F4" s="4">
        <v>17.05</v>
      </c>
      <c r="G4" s="4">
        <v>268000</v>
      </c>
      <c r="H4" s="4">
        <v>13135</v>
      </c>
      <c r="I4" s="4">
        <f>375*2</f>
        <v>750</v>
      </c>
      <c r="J4" s="4"/>
      <c r="K4" s="4">
        <f>150*4*0.75</f>
        <v>450</v>
      </c>
    </row>
    <row r="5" spans="1:12" x14ac:dyDescent="0.2">
      <c r="A5" s="4" t="s">
        <v>507</v>
      </c>
      <c r="B5" s="4">
        <v>1098</v>
      </c>
      <c r="C5" s="4">
        <v>15001</v>
      </c>
      <c r="D5" s="4">
        <v>64.75</v>
      </c>
      <c r="E5" s="4">
        <v>66.89</v>
      </c>
      <c r="F5" s="4">
        <v>17.05</v>
      </c>
      <c r="G5" s="4">
        <v>275000</v>
      </c>
      <c r="H5" s="4">
        <v>13135</v>
      </c>
      <c r="I5" s="4">
        <v>750</v>
      </c>
      <c r="J5" s="4"/>
      <c r="K5" s="4">
        <v>450</v>
      </c>
    </row>
    <row r="6" spans="1:12" x14ac:dyDescent="0.2">
      <c r="A6" s="4" t="s">
        <v>87</v>
      </c>
      <c r="B6" s="4">
        <v>1098</v>
      </c>
      <c r="C6" s="4">
        <v>14816</v>
      </c>
      <c r="D6" s="4">
        <v>64.75</v>
      </c>
      <c r="E6" s="4">
        <v>73.88</v>
      </c>
      <c r="F6" s="4">
        <v>17.079999999999998</v>
      </c>
      <c r="G6" s="4">
        <v>308000</v>
      </c>
      <c r="H6" s="4">
        <v>12600</v>
      </c>
      <c r="I6" s="4">
        <v>862</v>
      </c>
      <c r="J6" s="4"/>
      <c r="K6" s="4">
        <v>450</v>
      </c>
    </row>
    <row r="7" spans="1:12" x14ac:dyDescent="0.2">
      <c r="A7" s="4" t="s">
        <v>86</v>
      </c>
      <c r="B7" s="4">
        <v>1012</v>
      </c>
      <c r="C7" s="4">
        <v>12686</v>
      </c>
      <c r="D7" s="4">
        <v>60.3</v>
      </c>
      <c r="E7" s="4">
        <v>58.82</v>
      </c>
      <c r="F7" s="4">
        <v>17.39</v>
      </c>
      <c r="G7" s="4">
        <v>230000</v>
      </c>
      <c r="H7" s="4">
        <v>13137</v>
      </c>
      <c r="I7" s="4">
        <v>622</v>
      </c>
      <c r="J7" s="4"/>
      <c r="K7" s="4">
        <v>258.75</v>
      </c>
    </row>
    <row r="8" spans="1:12" x14ac:dyDescent="0.2">
      <c r="A8" s="4" t="s">
        <v>504</v>
      </c>
      <c r="B8" s="4">
        <v>1012</v>
      </c>
      <c r="C8" s="4">
        <v>10834</v>
      </c>
      <c r="D8" s="4">
        <v>60.3</v>
      </c>
      <c r="E8" s="4">
        <v>63.68</v>
      </c>
      <c r="F8" s="4">
        <v>16.829999999999998</v>
      </c>
      <c r="G8" s="4">
        <v>230000</v>
      </c>
      <c r="H8" s="4">
        <v>13137</v>
      </c>
      <c r="I8" s="4">
        <v>600</v>
      </c>
      <c r="J8" s="4"/>
      <c r="K8" s="4">
        <f>3*115*0.75</f>
        <v>258.75</v>
      </c>
    </row>
    <row r="9" spans="1:12" x14ac:dyDescent="0.2">
      <c r="A9" s="4" t="s">
        <v>505</v>
      </c>
      <c r="B9" s="4">
        <v>1012</v>
      </c>
      <c r="C9" s="4">
        <v>7408</v>
      </c>
      <c r="D9" s="4">
        <v>60.3</v>
      </c>
      <c r="E9" s="4">
        <v>58.82</v>
      </c>
      <c r="F9" s="4">
        <v>16.88</v>
      </c>
      <c r="G9" s="4">
        <v>227000</v>
      </c>
      <c r="H9" s="4">
        <v>13137</v>
      </c>
      <c r="I9" s="4">
        <v>600</v>
      </c>
      <c r="J9" s="4"/>
      <c r="K9" s="4">
        <f>3*115*0.75</f>
        <v>258.75</v>
      </c>
    </row>
    <row r="10" spans="1:12" x14ac:dyDescent="0.2">
      <c r="A10" s="4" t="s">
        <v>285</v>
      </c>
      <c r="B10" s="4">
        <v>1012</v>
      </c>
      <c r="C10" s="4">
        <v>4167</v>
      </c>
      <c r="D10" s="4">
        <v>34.090000000000003</v>
      </c>
      <c r="E10" s="4">
        <v>44.51</v>
      </c>
      <c r="F10" s="4">
        <v>11.76</v>
      </c>
      <c r="G10" s="4">
        <v>89000</v>
      </c>
      <c r="H10" s="4">
        <v>12130</v>
      </c>
      <c r="I10" s="4">
        <v>266</v>
      </c>
      <c r="K10" s="3">
        <v>202.5</v>
      </c>
    </row>
    <row r="11" spans="1:12" x14ac:dyDescent="0.2">
      <c r="A11" s="4" t="s">
        <v>503</v>
      </c>
      <c r="B11" s="4">
        <v>1012</v>
      </c>
      <c r="C11" s="4">
        <v>5000</v>
      </c>
      <c r="D11" s="4">
        <v>35.799999999999997</v>
      </c>
      <c r="E11" s="4">
        <v>44.51</v>
      </c>
      <c r="F11" s="4">
        <v>11.76</v>
      </c>
      <c r="G11" s="4">
        <v>93500</v>
      </c>
      <c r="H11" s="4">
        <v>12130</v>
      </c>
      <c r="I11" s="4">
        <v>281.2</v>
      </c>
      <c r="K11" s="3">
        <v>202.5</v>
      </c>
    </row>
    <row r="12" spans="1:12" x14ac:dyDescent="0.2">
      <c r="A12" s="4" t="s">
        <v>93</v>
      </c>
      <c r="B12" s="4">
        <v>1012</v>
      </c>
      <c r="C12" s="4">
        <v>4807</v>
      </c>
      <c r="D12" s="4">
        <v>34.090000000000003</v>
      </c>
      <c r="E12" s="4">
        <v>37.57</v>
      </c>
      <c r="F12" s="4">
        <v>11.76</v>
      </c>
      <c r="G12" s="4">
        <v>73500</v>
      </c>
      <c r="H12" s="4">
        <v>12130</v>
      </c>
      <c r="I12" s="4">
        <v>236</v>
      </c>
      <c r="J12" s="4"/>
      <c r="K12" s="3">
        <v>202.5</v>
      </c>
    </row>
    <row r="13" spans="1:12" x14ac:dyDescent="0.2">
      <c r="A13" s="4" t="s">
        <v>502</v>
      </c>
      <c r="B13" s="4">
        <v>1012</v>
      </c>
      <c r="C13" s="4">
        <v>5639</v>
      </c>
      <c r="D13" s="4">
        <v>35.799999999999997</v>
      </c>
      <c r="E13" s="4">
        <v>37.57</v>
      </c>
      <c r="F13" s="4">
        <v>11.76</v>
      </c>
      <c r="G13" s="4">
        <v>79000</v>
      </c>
      <c r="H13" s="4">
        <v>12130</v>
      </c>
      <c r="I13" s="4">
        <f>124.6*2</f>
        <v>249.2</v>
      </c>
      <c r="J13" s="4"/>
      <c r="K13" s="3">
        <v>202.5</v>
      </c>
    </row>
    <row r="14" spans="1:12" x14ac:dyDescent="0.2">
      <c r="A14" s="4" t="s">
        <v>284</v>
      </c>
      <c r="B14" s="4">
        <v>1012</v>
      </c>
      <c r="C14" s="4">
        <v>6846</v>
      </c>
      <c r="D14" s="4">
        <v>34.090000000000003</v>
      </c>
      <c r="E14" s="4">
        <v>33.83</v>
      </c>
      <c r="F14" s="4">
        <v>11.76</v>
      </c>
      <c r="G14" s="4">
        <v>64000</v>
      </c>
      <c r="H14" s="4">
        <v>12495</v>
      </c>
      <c r="I14" s="4">
        <f>2*120.1</f>
        <v>240.2</v>
      </c>
      <c r="K14" s="3">
        <v>202.5</v>
      </c>
    </row>
    <row r="15" spans="1:12" x14ac:dyDescent="0.2">
      <c r="A15" s="4" t="s">
        <v>283</v>
      </c>
      <c r="B15" s="4">
        <v>1012</v>
      </c>
      <c r="C15" s="4">
        <v>5222</v>
      </c>
      <c r="D15" s="4">
        <v>34.090000000000003</v>
      </c>
      <c r="E15" s="4">
        <v>31.45</v>
      </c>
      <c r="F15" s="4">
        <v>12.51</v>
      </c>
      <c r="G15" s="4">
        <v>66000</v>
      </c>
      <c r="H15" s="4">
        <v>12495</v>
      </c>
      <c r="I15" s="4">
        <f>2*103.6</f>
        <v>207.2</v>
      </c>
      <c r="K15" s="3">
        <v>202.5</v>
      </c>
    </row>
    <row r="16" spans="1:12" x14ac:dyDescent="0.2">
      <c r="A16" s="4" t="s">
        <v>91</v>
      </c>
      <c r="B16" s="4">
        <v>903</v>
      </c>
      <c r="C16" s="4">
        <v>15742</v>
      </c>
      <c r="D16" s="4">
        <v>60.12</v>
      </c>
      <c r="E16" s="4">
        <v>56.72</v>
      </c>
      <c r="F16" s="4">
        <v>16.89</v>
      </c>
      <c r="G16" s="4">
        <v>227930</v>
      </c>
      <c r="H16" s="4">
        <v>13135</v>
      </c>
      <c r="I16" s="4">
        <v>576</v>
      </c>
      <c r="J16" s="4"/>
      <c r="K16" s="4"/>
      <c r="L16" s="3">
        <f>1500*0.75</f>
        <v>1125</v>
      </c>
    </row>
    <row r="17" spans="1:12" x14ac:dyDescent="0.2">
      <c r="A17" s="4" t="s">
        <v>90</v>
      </c>
      <c r="B17" s="4">
        <v>1037</v>
      </c>
      <c r="C17" s="4">
        <v>14195</v>
      </c>
      <c r="D17" s="4">
        <v>60.93</v>
      </c>
      <c r="E17" s="4">
        <v>63.73</v>
      </c>
      <c r="F17" s="4">
        <v>18.75</v>
      </c>
      <c r="G17" s="4">
        <v>297555</v>
      </c>
      <c r="H17" s="4">
        <v>10455</v>
      </c>
      <c r="I17" s="4">
        <v>830</v>
      </c>
      <c r="J17" s="4"/>
      <c r="K17" s="4">
        <v>270</v>
      </c>
    </row>
    <row r="18" spans="1:12" x14ac:dyDescent="0.2">
      <c r="A18" s="4" t="s">
        <v>519</v>
      </c>
      <c r="B18" s="4">
        <v>1037</v>
      </c>
      <c r="C18" s="4">
        <v>14593</v>
      </c>
      <c r="D18" s="4">
        <v>64.8</v>
      </c>
      <c r="E18" s="4">
        <v>73.86</v>
      </c>
      <c r="F18" s="4">
        <v>18.57</v>
      </c>
      <c r="G18" s="4">
        <v>351535</v>
      </c>
      <c r="H18" s="4">
        <v>9845</v>
      </c>
      <c r="I18" s="4">
        <v>1024</v>
      </c>
      <c r="J18" s="4"/>
      <c r="K18" s="4">
        <f>360*0.75</f>
        <v>270</v>
      </c>
    </row>
    <row r="19" spans="1:12" x14ac:dyDescent="0.2">
      <c r="A19" s="4" t="s">
        <v>96</v>
      </c>
      <c r="B19" s="4">
        <v>892</v>
      </c>
      <c r="C19" s="4">
        <v>16945</v>
      </c>
      <c r="D19" s="4">
        <v>64.8</v>
      </c>
      <c r="E19" s="4">
        <v>63.73</v>
      </c>
      <c r="F19" s="4">
        <v>18.75</v>
      </c>
      <c r="G19" s="4">
        <v>347815</v>
      </c>
      <c r="H19" s="4">
        <v>10455</v>
      </c>
      <c r="I19" s="4">
        <v>830</v>
      </c>
      <c r="K19" s="3">
        <v>270</v>
      </c>
    </row>
    <row r="20" spans="1:12" x14ac:dyDescent="0.2">
      <c r="A20" s="4" t="s">
        <v>89</v>
      </c>
      <c r="B20" s="4">
        <v>987</v>
      </c>
      <c r="C20" s="4">
        <v>12325</v>
      </c>
      <c r="D20" s="4">
        <v>47.57</v>
      </c>
      <c r="E20" s="4">
        <v>48.51</v>
      </c>
      <c r="F20" s="4">
        <v>15.85</v>
      </c>
      <c r="G20" s="4">
        <v>179170</v>
      </c>
      <c r="H20" s="4">
        <v>10670</v>
      </c>
      <c r="I20" s="4">
        <f>276*2</f>
        <v>552</v>
      </c>
      <c r="J20" s="4"/>
      <c r="K20" s="4">
        <v>202.5</v>
      </c>
    </row>
    <row r="21" spans="1:12" x14ac:dyDescent="0.2">
      <c r="A21" s="4" t="s">
        <v>517</v>
      </c>
      <c r="B21" s="4">
        <v>987</v>
      </c>
      <c r="C21" s="4">
        <v>11389</v>
      </c>
      <c r="D21" s="4">
        <v>47.57</v>
      </c>
      <c r="E21" s="4">
        <v>54.94</v>
      </c>
      <c r="F21" s="4">
        <v>15.85</v>
      </c>
      <c r="G21" s="4">
        <v>186880</v>
      </c>
      <c r="H21" s="4">
        <v>10180</v>
      </c>
      <c r="I21" s="4">
        <f>276*2</f>
        <v>552</v>
      </c>
      <c r="J21" s="4"/>
      <c r="K21" s="4">
        <f>3*90*0.75</f>
        <v>202.5</v>
      </c>
    </row>
    <row r="22" spans="1:12" x14ac:dyDescent="0.2">
      <c r="A22" s="4" t="s">
        <v>518</v>
      </c>
      <c r="B22" s="4">
        <v>987</v>
      </c>
      <c r="C22" s="4">
        <v>10454</v>
      </c>
      <c r="D22" s="4">
        <v>51.92</v>
      </c>
      <c r="E22" s="4">
        <v>61.37</v>
      </c>
      <c r="F22" s="4">
        <v>17.02</v>
      </c>
      <c r="G22" s="4">
        <v>204115</v>
      </c>
      <c r="H22" s="4"/>
      <c r="I22" s="4">
        <f>282*2</f>
        <v>564</v>
      </c>
      <c r="J22" s="4"/>
      <c r="K22" s="4">
        <f>330*0.75</f>
        <v>247.5</v>
      </c>
    </row>
    <row r="23" spans="1:12" x14ac:dyDescent="0.2">
      <c r="A23" s="4" t="s">
        <v>290</v>
      </c>
      <c r="B23" s="4">
        <v>988</v>
      </c>
      <c r="C23" s="4">
        <v>7408</v>
      </c>
      <c r="D23" s="4">
        <v>47.57</v>
      </c>
      <c r="E23" s="4">
        <v>48.51</v>
      </c>
      <c r="F23" s="4">
        <v>15.85</v>
      </c>
      <c r="G23" s="4">
        <v>185065</v>
      </c>
      <c r="H23" s="4">
        <v>10670</v>
      </c>
      <c r="I23" s="4">
        <f>2*267</f>
        <v>534</v>
      </c>
      <c r="K23" s="3">
        <v>202.5</v>
      </c>
    </row>
    <row r="24" spans="1:12" x14ac:dyDescent="0.2">
      <c r="A24" s="4" t="s">
        <v>88</v>
      </c>
      <c r="B24" s="4">
        <v>956</v>
      </c>
      <c r="C24" s="4">
        <v>14816</v>
      </c>
      <c r="D24" s="4">
        <v>68.400000000000006</v>
      </c>
      <c r="E24" s="4">
        <v>76.25</v>
      </c>
      <c r="F24" s="4">
        <v>19.149999999999999</v>
      </c>
      <c r="G24" s="4">
        <v>447695</v>
      </c>
      <c r="H24" s="4">
        <v>12830</v>
      </c>
      <c r="I24" s="4">
        <v>1184</v>
      </c>
      <c r="J24" s="4"/>
      <c r="K24" s="4">
        <v>405</v>
      </c>
    </row>
    <row r="25" spans="1:12" x14ac:dyDescent="0.2">
      <c r="A25" s="4" t="s">
        <v>92</v>
      </c>
      <c r="B25" s="4">
        <v>956</v>
      </c>
      <c r="C25" s="4">
        <v>8130</v>
      </c>
      <c r="D25" s="4">
        <v>68.400000000000006</v>
      </c>
      <c r="E25" s="4">
        <v>76.25</v>
      </c>
      <c r="F25" s="4">
        <v>19.100000000000001</v>
      </c>
      <c r="G25" s="4">
        <v>442255</v>
      </c>
      <c r="H25" s="4">
        <v>13135</v>
      </c>
      <c r="I25" s="4">
        <v>1184</v>
      </c>
      <c r="J25" s="4"/>
      <c r="K25" s="4">
        <v>405</v>
      </c>
    </row>
    <row r="26" spans="1:12" x14ac:dyDescent="0.2">
      <c r="A26" s="4" t="s">
        <v>94</v>
      </c>
      <c r="B26" s="4">
        <v>1012</v>
      </c>
      <c r="C26" s="4">
        <v>5648</v>
      </c>
      <c r="D26" s="4">
        <v>34.32</v>
      </c>
      <c r="E26" s="4">
        <v>31.24</v>
      </c>
      <c r="F26" s="4">
        <v>12.57</v>
      </c>
      <c r="G26" s="4">
        <v>65090</v>
      </c>
      <c r="H26" s="4">
        <v>12220</v>
      </c>
      <c r="I26" s="4">
        <f>2*86.7</f>
        <v>173.4</v>
      </c>
      <c r="J26" s="4"/>
      <c r="K26" s="4">
        <f>90*0.75</f>
        <v>67.5</v>
      </c>
      <c r="L26" s="3" t="s">
        <v>516</v>
      </c>
    </row>
    <row r="27" spans="1:12" x14ac:dyDescent="0.2">
      <c r="A27" s="3" t="s">
        <v>513</v>
      </c>
      <c r="B27" s="3">
        <v>1012</v>
      </c>
      <c r="C27" s="3">
        <v>6037</v>
      </c>
      <c r="D27" s="4">
        <v>34.32</v>
      </c>
      <c r="E27" s="3">
        <v>33.630000000000003</v>
      </c>
      <c r="F27" s="3">
        <v>12.57</v>
      </c>
      <c r="G27" s="3">
        <v>70080</v>
      </c>
      <c r="H27" s="3">
        <v>11705</v>
      </c>
      <c r="I27" s="3">
        <f>2*91.6</f>
        <v>183.2</v>
      </c>
      <c r="K27" s="4">
        <f t="shared" ref="K27:K29" si="0">90*0.75</f>
        <v>67.5</v>
      </c>
      <c r="L27" s="3" t="s">
        <v>516</v>
      </c>
    </row>
    <row r="28" spans="1:12" x14ac:dyDescent="0.2">
      <c r="A28" s="4" t="s">
        <v>514</v>
      </c>
      <c r="B28" s="3">
        <v>1012</v>
      </c>
      <c r="C28" s="3">
        <v>5444</v>
      </c>
      <c r="D28" s="4">
        <v>34.32</v>
      </c>
      <c r="E28" s="3">
        <v>39.47</v>
      </c>
      <c r="F28" s="3">
        <v>12.55</v>
      </c>
      <c r="G28" s="3">
        <v>79015</v>
      </c>
      <c r="H28" s="3">
        <v>10955</v>
      </c>
      <c r="I28" s="3">
        <f>2*107.6</f>
        <v>215.2</v>
      </c>
      <c r="K28" s="4">
        <f t="shared" si="0"/>
        <v>67.5</v>
      </c>
      <c r="L28" s="3" t="s">
        <v>516</v>
      </c>
    </row>
    <row r="29" spans="1:12" x14ac:dyDescent="0.2">
      <c r="A29" s="3" t="s">
        <v>515</v>
      </c>
      <c r="B29" s="3">
        <v>1012</v>
      </c>
      <c r="C29" s="3">
        <v>5083</v>
      </c>
      <c r="D29" s="4">
        <v>34.32</v>
      </c>
      <c r="E29" s="3">
        <v>42.11</v>
      </c>
      <c r="F29" s="3">
        <v>12.55</v>
      </c>
      <c r="G29" s="3">
        <v>79015</v>
      </c>
      <c r="H29" s="3">
        <v>10820</v>
      </c>
      <c r="I29" s="3">
        <f>2*117</f>
        <v>234</v>
      </c>
      <c r="K29" s="4">
        <f t="shared" si="0"/>
        <v>67.5</v>
      </c>
      <c r="L29" s="3" t="s">
        <v>516</v>
      </c>
    </row>
    <row r="30" spans="1:12" x14ac:dyDescent="0.2">
      <c r="A30" s="4" t="s">
        <v>95</v>
      </c>
      <c r="B30" s="4">
        <v>870</v>
      </c>
      <c r="C30" s="4">
        <v>5463</v>
      </c>
      <c r="D30" s="4">
        <v>35.08</v>
      </c>
      <c r="E30" s="4">
        <v>34.979999999999997</v>
      </c>
      <c r="F30" s="4">
        <v>11.51</v>
      </c>
      <c r="G30" s="4">
        <v>58515</v>
      </c>
      <c r="H30" s="4">
        <v>12495</v>
      </c>
      <c r="I30" s="4">
        <v>207.2</v>
      </c>
      <c r="K30" s="4"/>
    </row>
    <row r="31" spans="1:12" x14ac:dyDescent="0.2">
      <c r="A31" s="4" t="s">
        <v>97</v>
      </c>
      <c r="B31" s="4">
        <v>881</v>
      </c>
      <c r="C31" s="4">
        <v>3591</v>
      </c>
      <c r="D31" s="4">
        <v>24.84</v>
      </c>
      <c r="E31" s="4">
        <v>36.369999999999997</v>
      </c>
      <c r="F31" s="4">
        <v>7.49</v>
      </c>
      <c r="G31" s="4">
        <v>36514</v>
      </c>
      <c r="H31" s="4">
        <v>12495</v>
      </c>
      <c r="I31" s="4">
        <v>129</v>
      </c>
      <c r="K31" s="3">
        <v>60</v>
      </c>
    </row>
    <row r="32" spans="1:12" x14ac:dyDescent="0.2">
      <c r="A32" s="4" t="s">
        <v>98</v>
      </c>
      <c r="B32" s="4">
        <v>871</v>
      </c>
      <c r="C32" s="4">
        <v>2639</v>
      </c>
      <c r="D32" s="4">
        <v>26.17</v>
      </c>
      <c r="E32" s="4">
        <v>39.15</v>
      </c>
      <c r="F32" s="4">
        <v>7.13</v>
      </c>
      <c r="G32" s="4">
        <v>40823</v>
      </c>
      <c r="H32" s="4"/>
      <c r="I32" s="4">
        <v>129</v>
      </c>
    </row>
    <row r="33" spans="1:12" x14ac:dyDescent="0.2">
      <c r="A33" s="4" t="s">
        <v>99</v>
      </c>
      <c r="B33" s="4">
        <v>870</v>
      </c>
      <c r="C33" s="4">
        <v>2898</v>
      </c>
      <c r="D33" s="4">
        <v>27.8</v>
      </c>
      <c r="E33" s="4">
        <v>26.44</v>
      </c>
      <c r="F33" s="4">
        <v>10.28</v>
      </c>
      <c r="G33" s="4">
        <v>38820</v>
      </c>
      <c r="H33" s="4">
        <v>12495</v>
      </c>
      <c r="I33" s="4">
        <v>153.80000000000001</v>
      </c>
      <c r="K33" s="3">
        <v>90</v>
      </c>
    </row>
    <row r="34" spans="1:12" x14ac:dyDescent="0.2">
      <c r="A34" s="3" t="s">
        <v>277</v>
      </c>
      <c r="B34" s="3">
        <v>987.8</v>
      </c>
      <c r="C34" s="3">
        <v>3704</v>
      </c>
      <c r="D34" s="3">
        <v>21.01</v>
      </c>
      <c r="E34" s="3">
        <v>29.87</v>
      </c>
      <c r="F34" s="3">
        <v>6.76</v>
      </c>
      <c r="G34" s="3">
        <v>24100</v>
      </c>
      <c r="H34" s="3">
        <v>11280</v>
      </c>
      <c r="I34" s="3">
        <f>2*39.6</f>
        <v>79.2</v>
      </c>
    </row>
    <row r="35" spans="1:12" x14ac:dyDescent="0.2">
      <c r="A35" s="3" t="s">
        <v>278</v>
      </c>
      <c r="B35" s="3">
        <v>987.8</v>
      </c>
      <c r="C35" s="3">
        <v>4074</v>
      </c>
      <c r="D35" s="3">
        <v>35.78</v>
      </c>
      <c r="E35" s="3">
        <v>38.9</v>
      </c>
      <c r="F35" s="3">
        <v>11.95</v>
      </c>
      <c r="G35" s="3">
        <v>74300</v>
      </c>
      <c r="H35" s="3">
        <v>12130</v>
      </c>
      <c r="I35" s="3">
        <f>2*120</f>
        <v>240</v>
      </c>
    </row>
    <row r="36" spans="1:12" x14ac:dyDescent="0.2">
      <c r="A36" s="3" t="s">
        <v>279</v>
      </c>
      <c r="B36" s="3">
        <v>1012</v>
      </c>
      <c r="C36" s="3">
        <v>3333</v>
      </c>
      <c r="D36" s="3">
        <v>27.29</v>
      </c>
      <c r="E36" s="3">
        <v>36.36</v>
      </c>
      <c r="F36" s="3">
        <v>8.44</v>
      </c>
      <c r="G36" s="3">
        <v>43616</v>
      </c>
      <c r="H36" s="3">
        <v>11900</v>
      </c>
      <c r="I36" s="3">
        <f>2*70</f>
        <v>140</v>
      </c>
      <c r="K36" s="3">
        <f>40*0.75</f>
        <v>30</v>
      </c>
    </row>
    <row r="37" spans="1:12" x14ac:dyDescent="0.2">
      <c r="A37" s="4" t="s">
        <v>281</v>
      </c>
      <c r="B37" s="4">
        <v>859</v>
      </c>
      <c r="C37" s="4">
        <v>3046</v>
      </c>
      <c r="D37" s="4">
        <v>21.21</v>
      </c>
      <c r="E37" s="4">
        <v>26.77</v>
      </c>
      <c r="F37" s="4">
        <v>6.22</v>
      </c>
      <c r="G37" s="4">
        <v>23133</v>
      </c>
      <c r="H37" s="4">
        <v>12495</v>
      </c>
      <c r="I37" s="4">
        <f>2*41</f>
        <v>82</v>
      </c>
      <c r="K37" s="3">
        <f>2*30*0.75</f>
        <v>45</v>
      </c>
    </row>
    <row r="38" spans="1:12" x14ac:dyDescent="0.2">
      <c r="A38" s="4" t="s">
        <v>282</v>
      </c>
      <c r="B38" s="4">
        <v>1024</v>
      </c>
      <c r="C38" s="4">
        <v>2376</v>
      </c>
      <c r="D38" s="4">
        <v>24.84</v>
      </c>
      <c r="E38" s="4">
        <v>36.369999999999997</v>
      </c>
      <c r="F38" s="4">
        <v>7.49</v>
      </c>
      <c r="G38" s="4">
        <v>36995</v>
      </c>
      <c r="H38" s="4">
        <v>12495</v>
      </c>
      <c r="I38" s="4">
        <f>2*58.4</f>
        <v>116.8</v>
      </c>
      <c r="K38" s="3">
        <v>60</v>
      </c>
    </row>
    <row r="39" spans="1:12" x14ac:dyDescent="0.2">
      <c r="A39" s="4" t="s">
        <v>287</v>
      </c>
      <c r="B39" s="4">
        <v>900</v>
      </c>
      <c r="C39" s="4">
        <v>9000</v>
      </c>
      <c r="D39" s="4">
        <v>57.66</v>
      </c>
      <c r="E39" s="4">
        <v>55.35</v>
      </c>
      <c r="F39" s="4">
        <v>17.55</v>
      </c>
      <c r="G39" s="4">
        <v>240000</v>
      </c>
      <c r="H39" s="4">
        <v>13200</v>
      </c>
      <c r="I39" s="4">
        <f>4*156.9</f>
        <v>627.6</v>
      </c>
    </row>
    <row r="40" spans="1:12" x14ac:dyDescent="0.2">
      <c r="A40" s="4" t="s">
        <v>288</v>
      </c>
      <c r="B40" s="4"/>
      <c r="C40" s="4">
        <v>6800</v>
      </c>
      <c r="D40" s="4">
        <v>40.880000000000003</v>
      </c>
      <c r="E40" s="4">
        <v>46.14</v>
      </c>
      <c r="F40" s="4">
        <v>13.87</v>
      </c>
      <c r="G40" s="4">
        <v>103000</v>
      </c>
      <c r="H40" s="4">
        <v>12100</v>
      </c>
      <c r="I40" s="4">
        <f>2*157</f>
        <v>314</v>
      </c>
    </row>
    <row r="41" spans="1:12" x14ac:dyDescent="0.2">
      <c r="A41" s="4" t="s">
        <v>289</v>
      </c>
      <c r="B41" s="4">
        <v>870</v>
      </c>
      <c r="C41" s="4">
        <v>3498</v>
      </c>
      <c r="D41" s="4">
        <v>28.91</v>
      </c>
      <c r="E41" s="4">
        <v>29.13</v>
      </c>
      <c r="F41" s="4">
        <v>8.1999999999999993</v>
      </c>
      <c r="G41" s="4">
        <v>41550</v>
      </c>
      <c r="H41" s="4">
        <v>12200</v>
      </c>
      <c r="I41" s="4">
        <f>2*67</f>
        <v>134</v>
      </c>
    </row>
    <row r="42" spans="1:12" x14ac:dyDescent="0.2">
      <c r="A42" s="3" t="s">
        <v>501</v>
      </c>
      <c r="B42" s="3">
        <v>987.8</v>
      </c>
      <c r="C42" s="3">
        <v>3333</v>
      </c>
      <c r="D42" s="3">
        <v>26</v>
      </c>
      <c r="E42" s="3">
        <v>29.9</v>
      </c>
      <c r="F42" s="3">
        <v>9.64</v>
      </c>
      <c r="G42" s="3">
        <v>35990</v>
      </c>
      <c r="H42" s="3">
        <v>12495</v>
      </c>
      <c r="I42" s="3">
        <v>126.4</v>
      </c>
      <c r="K42" s="3">
        <v>30</v>
      </c>
    </row>
    <row r="43" spans="1:12" x14ac:dyDescent="0.2">
      <c r="A43" s="3" t="s">
        <v>510</v>
      </c>
      <c r="B43" s="3">
        <v>963</v>
      </c>
      <c r="C43" s="3">
        <v>3092</v>
      </c>
      <c r="D43" s="3">
        <v>29.2</v>
      </c>
      <c r="E43" s="3">
        <v>33.4</v>
      </c>
      <c r="F43" s="3">
        <v>2.96</v>
      </c>
      <c r="G43" s="3">
        <v>38995</v>
      </c>
      <c r="H43" s="3">
        <v>11885</v>
      </c>
      <c r="I43" s="3">
        <f>78.3*2</f>
        <v>156.6</v>
      </c>
    </row>
    <row r="44" spans="1:12" x14ac:dyDescent="0.2">
      <c r="A44" s="3" t="s">
        <v>511</v>
      </c>
      <c r="B44" s="3">
        <v>987</v>
      </c>
      <c r="C44" s="3">
        <v>6000</v>
      </c>
      <c r="D44" s="3">
        <v>35.9</v>
      </c>
      <c r="E44" s="3">
        <v>36.799999999999997</v>
      </c>
      <c r="F44" s="3">
        <v>11.47</v>
      </c>
      <c r="G44" s="3">
        <v>72390</v>
      </c>
      <c r="I44" s="3">
        <v>306</v>
      </c>
    </row>
    <row r="45" spans="1:12" x14ac:dyDescent="0.2">
      <c r="A45" s="4"/>
      <c r="B45" s="4"/>
      <c r="C45" s="4"/>
      <c r="D45" s="4"/>
      <c r="E45" s="4"/>
      <c r="F45" s="4"/>
      <c r="G45" s="4"/>
      <c r="H45" s="4"/>
      <c r="I45" s="4"/>
    </row>
    <row r="46" spans="1:12" x14ac:dyDescent="0.2">
      <c r="A46" s="4" t="s">
        <v>100</v>
      </c>
      <c r="B46" s="4">
        <v>511</v>
      </c>
      <c r="C46" s="4">
        <v>1185</v>
      </c>
      <c r="D46" s="4">
        <v>27.05</v>
      </c>
      <c r="E46" s="4">
        <v>27.17</v>
      </c>
      <c r="F46" s="4">
        <v>7.65</v>
      </c>
      <c r="G46" s="4">
        <v>22800</v>
      </c>
      <c r="H46" s="4">
        <v>7620</v>
      </c>
      <c r="J46" s="4">
        <v>4102</v>
      </c>
      <c r="K46" s="4">
        <v>24</v>
      </c>
      <c r="L46" s="4"/>
    </row>
    <row r="47" spans="1:12" x14ac:dyDescent="0.2">
      <c r="A47" s="4" t="s">
        <v>101</v>
      </c>
      <c r="B47" s="4">
        <v>667</v>
      </c>
      <c r="C47" s="4">
        <v>2518</v>
      </c>
      <c r="D47" s="4">
        <v>28.42</v>
      </c>
      <c r="E47" s="4">
        <v>32.840000000000003</v>
      </c>
      <c r="F47" s="4">
        <v>8.36</v>
      </c>
      <c r="G47" s="4">
        <v>27987</v>
      </c>
      <c r="H47" s="4">
        <v>7620</v>
      </c>
      <c r="J47" s="4">
        <v>7562</v>
      </c>
      <c r="L47" s="4"/>
    </row>
    <row r="48" spans="1:12" x14ac:dyDescent="0.2">
      <c r="A48" s="3" t="s">
        <v>280</v>
      </c>
      <c r="B48" s="3">
        <v>515</v>
      </c>
      <c r="C48" s="3">
        <v>2448</v>
      </c>
      <c r="D48" s="3">
        <v>29.2</v>
      </c>
      <c r="E48" s="3">
        <v>24.71</v>
      </c>
      <c r="F48" s="3">
        <v>8.86</v>
      </c>
      <c r="G48" s="3">
        <v>21800</v>
      </c>
      <c r="H48" s="3">
        <v>8500</v>
      </c>
      <c r="J48" s="3">
        <f>2*2051</f>
        <v>4102</v>
      </c>
      <c r="K48" s="3">
        <v>12</v>
      </c>
    </row>
    <row r="49" spans="1:11" x14ac:dyDescent="0.2">
      <c r="A49" s="3" t="s">
        <v>286</v>
      </c>
      <c r="B49" s="3">
        <v>556</v>
      </c>
      <c r="C49" s="3">
        <v>2963</v>
      </c>
      <c r="D49" s="3">
        <v>24.57</v>
      </c>
      <c r="E49" s="3">
        <v>22.67</v>
      </c>
      <c r="F49" s="3">
        <v>7.59</v>
      </c>
      <c r="G49" s="3">
        <v>18600</v>
      </c>
      <c r="H49" s="3">
        <v>5485</v>
      </c>
      <c r="J49" s="3">
        <f>2*1790</f>
        <v>3580</v>
      </c>
      <c r="K49" s="3">
        <v>24</v>
      </c>
    </row>
    <row r="50" spans="1:11" x14ac:dyDescent="0.2">
      <c r="A50" s="3" t="s">
        <v>512</v>
      </c>
      <c r="B50" s="3">
        <v>537</v>
      </c>
      <c r="C50" s="3">
        <v>1718</v>
      </c>
      <c r="D50" s="3">
        <v>24.504999999999999</v>
      </c>
      <c r="E50" s="3">
        <v>22.605</v>
      </c>
      <c r="F50" s="3">
        <v>8.2249999999999996</v>
      </c>
      <c r="G50" s="3">
        <v>21500</v>
      </c>
      <c r="H50" s="3">
        <v>7620</v>
      </c>
      <c r="J50" s="3">
        <f>2*1839</f>
        <v>3678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tabColor rgb="FF92D050"/>
  </sheetPr>
  <dimension ref="A1:L67"/>
  <sheetViews>
    <sheetView tabSelected="1" zoomScale="80" zoomScaleNormal="80" zoomScalePageLayoutView="80" workbookViewId="0">
      <pane ySplit="1" topLeftCell="A32" activePane="bottomLeft" state="frozen"/>
      <selection pane="bottomLeft" activeCell="B68" sqref="B68:C69"/>
    </sheetView>
  </sheetViews>
  <sheetFormatPr defaultColWidth="8.85546875" defaultRowHeight="15" x14ac:dyDescent="0.2"/>
  <cols>
    <col min="1" max="1" width="38.42578125" style="3" bestFit="1" customWidth="1"/>
    <col min="2" max="2" width="29.140625" style="3" bestFit="1" customWidth="1"/>
    <col min="3" max="3" width="14.28515625" style="3" bestFit="1" customWidth="1"/>
    <col min="4" max="4" width="17" style="3" bestFit="1" customWidth="1"/>
    <col min="5" max="5" width="13.42578125" style="3" bestFit="1" customWidth="1"/>
    <col min="6" max="6" width="12.85546875" style="3" bestFit="1" customWidth="1"/>
    <col min="7" max="7" width="13.42578125" style="3" bestFit="1" customWidth="1"/>
    <col min="8" max="8" width="25" style="3" bestFit="1" customWidth="1"/>
    <col min="9" max="9" width="18.140625" style="3" bestFit="1" customWidth="1"/>
    <col min="10" max="10" width="27.28515625" style="3" bestFit="1" customWidth="1"/>
    <col min="11" max="11" width="31.28515625" style="3" bestFit="1" customWidth="1"/>
    <col min="12" max="16384" width="8.85546875" style="3"/>
  </cols>
  <sheetData>
    <row r="1" spans="1:1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19</v>
      </c>
      <c r="I1" s="2" t="s">
        <v>20</v>
      </c>
      <c r="J1" s="2" t="s">
        <v>7</v>
      </c>
      <c r="K1" s="2" t="s">
        <v>8</v>
      </c>
    </row>
    <row r="2" spans="1:11" x14ac:dyDescent="0.2">
      <c r="A2" s="1" t="s">
        <v>102</v>
      </c>
      <c r="B2" s="1">
        <v>950</v>
      </c>
      <c r="C2" s="1">
        <v>9630</v>
      </c>
      <c r="D2" s="1"/>
      <c r="E2" s="1">
        <v>29.49</v>
      </c>
      <c r="F2" s="1"/>
      <c r="G2" s="1">
        <v>41957</v>
      </c>
      <c r="H2" s="1">
        <v>15545</v>
      </c>
      <c r="I2" s="1"/>
      <c r="J2" s="5"/>
      <c r="K2" s="5"/>
    </row>
    <row r="3" spans="1:11" x14ac:dyDescent="0.2">
      <c r="A3" s="1" t="s">
        <v>103</v>
      </c>
      <c r="B3" s="1">
        <v>907</v>
      </c>
      <c r="C3" s="1">
        <v>7408</v>
      </c>
      <c r="D3" s="1">
        <v>26.21</v>
      </c>
      <c r="E3" s="1">
        <v>26.52</v>
      </c>
      <c r="F3" s="1">
        <v>7.92</v>
      </c>
      <c r="G3" s="1">
        <v>24948</v>
      </c>
      <c r="H3" s="1">
        <v>13715</v>
      </c>
      <c r="I3" s="1">
        <v>89</v>
      </c>
      <c r="J3" s="5"/>
      <c r="K3" s="5"/>
    </row>
    <row r="4" spans="1:11" x14ac:dyDescent="0.2">
      <c r="A4" s="1" t="s">
        <v>104</v>
      </c>
      <c r="B4" s="1">
        <v>982</v>
      </c>
      <c r="C4" s="1">
        <v>12964</v>
      </c>
      <c r="D4" s="1">
        <v>30.35</v>
      </c>
      <c r="E4" s="1">
        <v>30.4</v>
      </c>
      <c r="F4" s="1">
        <v>7.82</v>
      </c>
      <c r="G4" s="1">
        <v>45180</v>
      </c>
      <c r="H4" s="1">
        <v>15545</v>
      </c>
      <c r="I4" s="1">
        <v>150.4</v>
      </c>
      <c r="J4" s="1"/>
      <c r="K4" s="1">
        <v>90</v>
      </c>
    </row>
    <row r="5" spans="1:11" x14ac:dyDescent="0.2">
      <c r="A5" s="1" t="s">
        <v>105</v>
      </c>
      <c r="B5" s="1">
        <v>871</v>
      </c>
      <c r="C5" s="1">
        <v>10139</v>
      </c>
      <c r="D5" s="1">
        <v>34.32</v>
      </c>
      <c r="E5" s="1">
        <v>42.11</v>
      </c>
      <c r="F5" s="1">
        <v>12.57</v>
      </c>
      <c r="G5" s="1">
        <v>85140</v>
      </c>
      <c r="H5" s="1">
        <v>12495</v>
      </c>
      <c r="I5" s="1">
        <v>242.8</v>
      </c>
      <c r="J5" s="1"/>
      <c r="K5" s="1">
        <v>202.5</v>
      </c>
    </row>
    <row r="6" spans="1:11" x14ac:dyDescent="0.2">
      <c r="A6" s="1" t="s">
        <v>106</v>
      </c>
      <c r="B6" s="1">
        <v>685</v>
      </c>
      <c r="C6" s="1">
        <v>11019</v>
      </c>
      <c r="D6" s="1">
        <v>26.21</v>
      </c>
      <c r="E6" s="1">
        <v>23.19</v>
      </c>
      <c r="F6" s="1">
        <v>7.83</v>
      </c>
      <c r="G6" s="1">
        <v>31297</v>
      </c>
      <c r="H6" s="1">
        <v>15545</v>
      </c>
      <c r="I6" s="1">
        <v>85.5</v>
      </c>
      <c r="J6" s="1"/>
      <c r="K6" s="1">
        <v>36</v>
      </c>
    </row>
    <row r="7" spans="1:11" x14ac:dyDescent="0.2">
      <c r="A7" s="1" t="s">
        <v>107</v>
      </c>
      <c r="B7" s="1">
        <v>870</v>
      </c>
      <c r="C7" s="1">
        <v>7426</v>
      </c>
      <c r="D7" s="1">
        <v>19.61</v>
      </c>
      <c r="E7" s="1">
        <v>20.85</v>
      </c>
      <c r="F7" s="1">
        <v>6.3</v>
      </c>
      <c r="G7" s="1">
        <v>21863</v>
      </c>
      <c r="H7" s="1">
        <v>12495</v>
      </c>
      <c r="I7" s="1">
        <v>82</v>
      </c>
      <c r="J7" s="1"/>
      <c r="K7" s="1">
        <v>45</v>
      </c>
    </row>
    <row r="8" spans="1:11" x14ac:dyDescent="0.2">
      <c r="A8" s="1" t="s">
        <v>108</v>
      </c>
      <c r="B8" s="1">
        <v>977</v>
      </c>
      <c r="C8" s="1">
        <v>5685</v>
      </c>
      <c r="D8" s="1">
        <v>19.48</v>
      </c>
      <c r="E8" s="1">
        <v>22.05</v>
      </c>
      <c r="F8" s="1">
        <v>5.87</v>
      </c>
      <c r="G8" s="1">
        <v>16375</v>
      </c>
      <c r="H8" s="1">
        <v>15545</v>
      </c>
      <c r="I8" s="1">
        <v>60.02</v>
      </c>
      <c r="J8" s="1"/>
      <c r="K8" s="1">
        <v>22.4</v>
      </c>
    </row>
    <row r="9" spans="1:11" x14ac:dyDescent="0.2">
      <c r="A9" s="1" t="s">
        <v>109</v>
      </c>
      <c r="B9" s="1">
        <v>956</v>
      </c>
      <c r="C9" s="1">
        <v>9630</v>
      </c>
      <c r="D9" s="1">
        <v>25.94</v>
      </c>
      <c r="E9" s="1">
        <v>25.17</v>
      </c>
      <c r="F9" s="1">
        <v>7.47</v>
      </c>
      <c r="G9" s="1">
        <v>31570</v>
      </c>
      <c r="H9" s="1">
        <v>15545</v>
      </c>
      <c r="I9" s="1">
        <v>101.8</v>
      </c>
      <c r="J9" s="1"/>
      <c r="K9" s="1">
        <v>18.75</v>
      </c>
    </row>
    <row r="10" spans="1:11" x14ac:dyDescent="0.2">
      <c r="A10" s="1" t="s">
        <v>110</v>
      </c>
      <c r="B10" s="1">
        <v>881</v>
      </c>
      <c r="C10" s="1">
        <v>5556</v>
      </c>
      <c r="D10" s="1">
        <v>20.25</v>
      </c>
      <c r="E10" s="1">
        <v>20.52</v>
      </c>
      <c r="F10" s="1"/>
      <c r="G10" s="1"/>
      <c r="H10" s="1">
        <v>13715</v>
      </c>
      <c r="I10" s="1">
        <v>66.599999999999994</v>
      </c>
      <c r="J10" s="5"/>
      <c r="K10" s="5"/>
    </row>
    <row r="11" spans="1:11" x14ac:dyDescent="0.2">
      <c r="A11" s="1" t="s">
        <v>111</v>
      </c>
      <c r="B11" s="1">
        <v>903</v>
      </c>
      <c r="C11" s="1">
        <v>6667</v>
      </c>
      <c r="D11" s="1">
        <v>19.2</v>
      </c>
      <c r="E11" s="1">
        <v>20.37</v>
      </c>
      <c r="F11" s="1">
        <v>6.5</v>
      </c>
      <c r="G11" s="1">
        <v>17962</v>
      </c>
      <c r="H11" s="1">
        <v>13715</v>
      </c>
      <c r="I11" s="1">
        <v>66.239999999999995</v>
      </c>
      <c r="J11" s="1"/>
      <c r="K11" s="1">
        <v>33.6</v>
      </c>
    </row>
    <row r="12" spans="1:11" x14ac:dyDescent="0.2">
      <c r="A12" s="1" t="s">
        <v>112</v>
      </c>
      <c r="B12" s="1">
        <v>741</v>
      </c>
      <c r="C12" s="1">
        <v>2407</v>
      </c>
      <c r="D12" s="1">
        <v>14.4</v>
      </c>
      <c r="E12" s="1">
        <v>12.98</v>
      </c>
      <c r="F12" s="1">
        <v>4.24</v>
      </c>
      <c r="G12" s="1">
        <v>4853</v>
      </c>
      <c r="H12" s="1">
        <v>12495</v>
      </c>
      <c r="I12" s="1">
        <v>17.48</v>
      </c>
      <c r="J12" s="1"/>
      <c r="K12" s="1">
        <v>17.399999999999999</v>
      </c>
    </row>
    <row r="13" spans="1:11" x14ac:dyDescent="0.2">
      <c r="A13" s="1" t="s">
        <v>113</v>
      </c>
      <c r="B13" s="1">
        <v>722</v>
      </c>
      <c r="C13" s="1">
        <v>2444</v>
      </c>
      <c r="D13" s="1">
        <v>12.29</v>
      </c>
      <c r="E13" s="1">
        <v>12.83</v>
      </c>
      <c r="F13" s="1">
        <v>4.34</v>
      </c>
      <c r="G13" s="1">
        <v>4750</v>
      </c>
      <c r="H13" s="1">
        <v>12495</v>
      </c>
      <c r="I13" s="1">
        <v>15.08</v>
      </c>
      <c r="J13" s="5"/>
      <c r="K13" s="5"/>
    </row>
    <row r="14" spans="1:11" x14ac:dyDescent="0.2">
      <c r="A14" s="1" t="s">
        <v>114</v>
      </c>
      <c r="B14" s="1">
        <v>787</v>
      </c>
      <c r="C14" s="1">
        <v>2592</v>
      </c>
      <c r="D14" s="1">
        <v>12.12</v>
      </c>
      <c r="E14" s="1">
        <v>12.99</v>
      </c>
      <c r="F14" s="1">
        <v>4.54</v>
      </c>
      <c r="G14" s="1"/>
      <c r="H14" s="1">
        <v>13105</v>
      </c>
      <c r="I14" s="1">
        <v>18.64</v>
      </c>
      <c r="J14" s="5"/>
      <c r="K14" s="5"/>
    </row>
    <row r="15" spans="1:11" x14ac:dyDescent="0.2">
      <c r="A15" s="1" t="s">
        <v>115</v>
      </c>
      <c r="B15" s="1">
        <v>900</v>
      </c>
      <c r="C15" s="1"/>
      <c r="D15" s="1">
        <v>4</v>
      </c>
      <c r="E15" s="1">
        <v>4.12</v>
      </c>
      <c r="F15" s="1">
        <v>1.4</v>
      </c>
      <c r="G15" s="1">
        <v>300</v>
      </c>
      <c r="H15" s="1"/>
      <c r="I15" s="1">
        <v>2.2000000000000002</v>
      </c>
      <c r="J15" s="5"/>
      <c r="K15" s="5"/>
    </row>
    <row r="16" spans="1:11" x14ac:dyDescent="0.2">
      <c r="A16" s="1" t="s">
        <v>116</v>
      </c>
      <c r="B16" s="1">
        <v>556</v>
      </c>
      <c r="C16" s="1">
        <v>2129</v>
      </c>
      <c r="D16" s="1">
        <v>11.73</v>
      </c>
      <c r="E16" s="1">
        <v>8.99</v>
      </c>
      <c r="F16" s="1">
        <v>3.2</v>
      </c>
      <c r="G16" s="1">
        <v>2722</v>
      </c>
      <c r="H16" s="1">
        <v>8535</v>
      </c>
      <c r="I16" s="1">
        <v>8.4499999999999993</v>
      </c>
      <c r="J16" s="5"/>
      <c r="K16" s="5"/>
    </row>
    <row r="17" spans="1:11" x14ac:dyDescent="0.2">
      <c r="A17" s="1" t="s">
        <v>291</v>
      </c>
      <c r="B17" s="1">
        <v>839</v>
      </c>
      <c r="C17" s="1">
        <v>3613</v>
      </c>
      <c r="D17" s="1">
        <v>15.91</v>
      </c>
      <c r="E17" s="1">
        <v>15.64</v>
      </c>
      <c r="F17" s="1">
        <v>5.0999999999999996</v>
      </c>
      <c r="G17" s="1">
        <v>8618</v>
      </c>
      <c r="H17" s="1">
        <v>13715</v>
      </c>
      <c r="I17" s="1">
        <f>2*14.23</f>
        <v>28.46</v>
      </c>
      <c r="J17" s="5"/>
      <c r="K17" s="5"/>
    </row>
    <row r="18" spans="1:11" x14ac:dyDescent="0.2">
      <c r="A18" s="1" t="s">
        <v>292</v>
      </c>
      <c r="B18" s="1">
        <v>850</v>
      </c>
      <c r="C18" s="1">
        <v>6296</v>
      </c>
      <c r="D18" s="1">
        <v>21.17</v>
      </c>
      <c r="E18" s="1">
        <v>26.33</v>
      </c>
      <c r="F18" s="1">
        <v>6.76</v>
      </c>
      <c r="G18" s="1">
        <v>22500</v>
      </c>
      <c r="H18" s="1">
        <v>12495</v>
      </c>
      <c r="I18" s="1">
        <f>2*37.1</f>
        <v>74.2</v>
      </c>
      <c r="J18" s="5"/>
      <c r="K18" s="5"/>
    </row>
    <row r="19" spans="1:11" x14ac:dyDescent="0.2">
      <c r="A19" s="1" t="s">
        <v>293</v>
      </c>
      <c r="B19" s="1">
        <v>988</v>
      </c>
      <c r="C19" s="1">
        <v>7222</v>
      </c>
      <c r="D19" s="1"/>
      <c r="E19" s="1"/>
      <c r="F19" s="1">
        <v>6.64</v>
      </c>
      <c r="G19" s="1">
        <v>24300</v>
      </c>
      <c r="H19" s="1">
        <v>12495</v>
      </c>
      <c r="I19" s="1">
        <f>2*40.1</f>
        <v>80.2</v>
      </c>
      <c r="J19" s="5"/>
      <c r="K19" s="5"/>
    </row>
    <row r="20" spans="1:11" x14ac:dyDescent="0.2">
      <c r="A20" s="1" t="s">
        <v>294</v>
      </c>
      <c r="B20" s="1">
        <v>1024</v>
      </c>
      <c r="C20" s="1">
        <v>4630</v>
      </c>
      <c r="D20" s="1">
        <v>20.25</v>
      </c>
      <c r="E20" s="1">
        <v>19.68</v>
      </c>
      <c r="F20" s="1">
        <v>6.73</v>
      </c>
      <c r="G20" s="1"/>
      <c r="H20" s="1">
        <v>13715</v>
      </c>
      <c r="I20" s="1">
        <f>2*27.4</f>
        <v>54.8</v>
      </c>
      <c r="J20" s="5"/>
      <c r="K20" s="5"/>
    </row>
    <row r="21" spans="1:11" x14ac:dyDescent="0.2">
      <c r="A21" s="3" t="s">
        <v>295</v>
      </c>
      <c r="B21" s="3">
        <v>1099</v>
      </c>
      <c r="C21" s="3">
        <v>11112</v>
      </c>
      <c r="D21" s="3">
        <v>28.65</v>
      </c>
      <c r="E21" s="3">
        <v>30.3</v>
      </c>
      <c r="F21" s="3">
        <v>7.77</v>
      </c>
      <c r="G21" s="3">
        <v>45130</v>
      </c>
      <c r="H21" s="3">
        <v>15545</v>
      </c>
      <c r="I21" s="3">
        <f>2*65.6</f>
        <v>131.19999999999999</v>
      </c>
      <c r="K21" s="3">
        <f>2*40*0.75</f>
        <v>60</v>
      </c>
    </row>
    <row r="22" spans="1:11" x14ac:dyDescent="0.2">
      <c r="A22" s="3" t="s">
        <v>296</v>
      </c>
      <c r="B22" s="3">
        <v>1111</v>
      </c>
      <c r="C22" s="3">
        <v>13519</v>
      </c>
      <c r="D22" s="3">
        <v>31.7</v>
      </c>
      <c r="E22" s="3">
        <v>33.799999999999997</v>
      </c>
      <c r="F22" s="3">
        <v>8.26</v>
      </c>
      <c r="G22" s="3">
        <v>48194</v>
      </c>
      <c r="H22" s="3">
        <v>15545</v>
      </c>
      <c r="I22" s="3">
        <v>131.19999999999999</v>
      </c>
      <c r="K22" s="3">
        <v>60</v>
      </c>
    </row>
    <row r="23" spans="1:11" x14ac:dyDescent="0.2">
      <c r="A23" s="3" t="s">
        <v>297</v>
      </c>
      <c r="B23" s="3">
        <v>1111</v>
      </c>
      <c r="C23" s="3">
        <v>14630</v>
      </c>
      <c r="D23" s="3">
        <v>31.7</v>
      </c>
      <c r="E23" s="3">
        <v>31.14</v>
      </c>
      <c r="F23" s="3">
        <v>8.23</v>
      </c>
      <c r="G23" s="3">
        <v>47536</v>
      </c>
      <c r="H23" s="3">
        <v>15545</v>
      </c>
      <c r="I23" s="3">
        <v>131.19999999999999</v>
      </c>
      <c r="K23" s="3">
        <v>60</v>
      </c>
    </row>
    <row r="24" spans="1:11" x14ac:dyDescent="0.2">
      <c r="A24" s="3" t="s">
        <v>298</v>
      </c>
      <c r="B24" s="3">
        <v>859</v>
      </c>
      <c r="C24" s="3">
        <v>3713</v>
      </c>
      <c r="D24" s="3">
        <v>21.21</v>
      </c>
      <c r="E24" s="3">
        <v>26.77</v>
      </c>
      <c r="F24" s="3">
        <v>6.22</v>
      </c>
      <c r="G24" s="3">
        <v>24040</v>
      </c>
      <c r="H24" s="3">
        <v>12495</v>
      </c>
      <c r="I24" s="3">
        <f>2*41</f>
        <v>82</v>
      </c>
      <c r="K24" s="3">
        <f>2*30*0.75</f>
        <v>45</v>
      </c>
    </row>
    <row r="25" spans="1:11" x14ac:dyDescent="0.2">
      <c r="A25" s="3" t="s">
        <v>299</v>
      </c>
      <c r="B25" s="3">
        <v>870</v>
      </c>
      <c r="C25" s="3">
        <v>2255</v>
      </c>
      <c r="D25" s="3">
        <v>23.24</v>
      </c>
      <c r="E25" s="3">
        <v>32.33</v>
      </c>
      <c r="F25" s="3">
        <v>7.57</v>
      </c>
      <c r="G25" s="3">
        <v>32999</v>
      </c>
      <c r="H25" s="3">
        <v>12495</v>
      </c>
      <c r="I25" s="3">
        <f>2*56.4</f>
        <v>112.8</v>
      </c>
      <c r="K25" s="3">
        <f>2*40*0.75</f>
        <v>60</v>
      </c>
    </row>
    <row r="26" spans="1:11" x14ac:dyDescent="0.2">
      <c r="A26" s="3" t="s">
        <v>300</v>
      </c>
      <c r="B26" s="3">
        <v>1025</v>
      </c>
      <c r="C26" s="3">
        <v>2376</v>
      </c>
      <c r="D26" s="3">
        <v>24.84</v>
      </c>
      <c r="E26" s="3">
        <v>36.369999999999997</v>
      </c>
      <c r="F26" s="3">
        <v>7.49</v>
      </c>
      <c r="G26" s="3">
        <v>36514</v>
      </c>
      <c r="H26" s="3">
        <v>12495</v>
      </c>
      <c r="I26" s="3">
        <f>2*58.4</f>
        <v>116.8</v>
      </c>
    </row>
    <row r="27" spans="1:11" x14ac:dyDescent="0.2">
      <c r="A27" s="3" t="s">
        <v>301</v>
      </c>
      <c r="B27" s="3">
        <v>882</v>
      </c>
      <c r="C27" s="3">
        <v>5741</v>
      </c>
      <c r="D27" s="3">
        <v>19.46</v>
      </c>
      <c r="E27" s="3">
        <v>20.92</v>
      </c>
      <c r="F27" s="3">
        <v>6.2</v>
      </c>
      <c r="G27" s="3">
        <v>17622</v>
      </c>
      <c r="H27" s="3">
        <v>13715</v>
      </c>
      <c r="I27" s="3">
        <f>2*35.81</f>
        <v>71.62</v>
      </c>
      <c r="K27" s="3">
        <f>3*400*28/1000</f>
        <v>33.6</v>
      </c>
    </row>
    <row r="28" spans="1:11" x14ac:dyDescent="0.2">
      <c r="A28" s="3" t="s">
        <v>302</v>
      </c>
      <c r="B28" s="3">
        <v>1012</v>
      </c>
      <c r="C28" s="3">
        <v>6019</v>
      </c>
      <c r="D28" s="3">
        <v>21</v>
      </c>
      <c r="E28" s="3">
        <v>20.92</v>
      </c>
      <c r="F28" s="3">
        <v>6.2</v>
      </c>
      <c r="G28" s="3">
        <v>18416</v>
      </c>
      <c r="H28" s="3">
        <v>13715</v>
      </c>
      <c r="I28" s="3">
        <f>2*32.6</f>
        <v>65.2</v>
      </c>
      <c r="K28" s="3">
        <f>3*400*28/1000</f>
        <v>33.6</v>
      </c>
    </row>
    <row r="29" spans="1:11" x14ac:dyDescent="0.2">
      <c r="A29" s="3" t="s">
        <v>304</v>
      </c>
      <c r="B29" s="3">
        <v>593</v>
      </c>
      <c r="C29" s="3">
        <v>2222</v>
      </c>
      <c r="D29" s="3">
        <v>11.06</v>
      </c>
      <c r="E29" s="3">
        <v>10.17</v>
      </c>
      <c r="F29" s="3">
        <v>3.26</v>
      </c>
      <c r="G29" s="3">
        <v>2495</v>
      </c>
      <c r="H29" s="3">
        <v>8535</v>
      </c>
      <c r="I29" s="3">
        <v>7.54</v>
      </c>
    </row>
    <row r="30" spans="1:11" x14ac:dyDescent="0.2">
      <c r="A30" s="3" t="s">
        <v>303</v>
      </c>
      <c r="B30" s="3">
        <v>763</v>
      </c>
      <c r="C30" s="3">
        <v>2592</v>
      </c>
      <c r="D30" s="3">
        <v>13.41</v>
      </c>
      <c r="E30" s="3">
        <v>12.17</v>
      </c>
      <c r="F30" s="3">
        <v>3.78</v>
      </c>
      <c r="G30" s="3">
        <v>3493</v>
      </c>
      <c r="H30" s="3">
        <v>12495</v>
      </c>
      <c r="I30" s="3">
        <f>2*8.45</f>
        <v>16.899999999999999</v>
      </c>
    </row>
    <row r="31" spans="1:11" x14ac:dyDescent="0.2">
      <c r="A31" s="3" t="s">
        <v>305</v>
      </c>
      <c r="B31" s="3">
        <v>1037</v>
      </c>
      <c r="C31" s="3">
        <v>7593</v>
      </c>
      <c r="D31" s="3">
        <v>19.329999999999998</v>
      </c>
      <c r="E31" s="3">
        <v>20.23</v>
      </c>
      <c r="F31" s="3">
        <v>7.55</v>
      </c>
      <c r="G31" s="3">
        <v>21182</v>
      </c>
      <c r="H31" s="3">
        <v>15545</v>
      </c>
      <c r="I31" s="3">
        <f>3*22.24</f>
        <v>66.72</v>
      </c>
      <c r="K31" s="3">
        <f>9*3</f>
        <v>27</v>
      </c>
    </row>
    <row r="32" spans="1:11" x14ac:dyDescent="0.2">
      <c r="A32" s="3" t="s">
        <v>306</v>
      </c>
      <c r="B32" s="3">
        <v>1111</v>
      </c>
      <c r="C32" s="3">
        <v>11945</v>
      </c>
      <c r="D32" s="3">
        <v>26.29</v>
      </c>
      <c r="E32" s="3">
        <v>24.46</v>
      </c>
      <c r="F32" s="3">
        <v>7.94</v>
      </c>
      <c r="G32" s="3">
        <v>33112</v>
      </c>
      <c r="H32" s="3">
        <v>15545</v>
      </c>
      <c r="I32" s="3">
        <f>3*29.9</f>
        <v>89.699999999999989</v>
      </c>
      <c r="K32" s="3">
        <v>36</v>
      </c>
    </row>
    <row r="33" spans="1:11" x14ac:dyDescent="0.2">
      <c r="A33" s="3" t="s">
        <v>308</v>
      </c>
      <c r="B33" s="4">
        <v>1012</v>
      </c>
      <c r="C33" s="4">
        <v>5222</v>
      </c>
      <c r="D33" s="4">
        <v>34.090000000000003</v>
      </c>
      <c r="E33" s="4">
        <v>31.45</v>
      </c>
      <c r="F33" s="4">
        <v>12.51</v>
      </c>
      <c r="G33" s="4">
        <v>66000</v>
      </c>
      <c r="H33" s="4">
        <v>12495</v>
      </c>
      <c r="I33" s="4">
        <f>2*103.6</f>
        <v>207.2</v>
      </c>
      <c r="K33" s="3">
        <v>135</v>
      </c>
    </row>
    <row r="34" spans="1:11" x14ac:dyDescent="0.2">
      <c r="A34" s="3" t="s">
        <v>309</v>
      </c>
      <c r="B34" s="4">
        <v>1012</v>
      </c>
      <c r="C34" s="4">
        <v>6846</v>
      </c>
      <c r="D34" s="4">
        <v>34.090000000000003</v>
      </c>
      <c r="E34" s="4">
        <v>33.83</v>
      </c>
      <c r="F34" s="4">
        <v>11.76</v>
      </c>
      <c r="G34" s="4">
        <v>64000</v>
      </c>
      <c r="H34" s="4">
        <v>12495</v>
      </c>
      <c r="I34" s="4">
        <f>2*120.1</f>
        <v>240.2</v>
      </c>
      <c r="K34" s="3">
        <v>135</v>
      </c>
    </row>
    <row r="35" spans="1:11" x14ac:dyDescent="0.2">
      <c r="A35" s="3" t="s">
        <v>310</v>
      </c>
      <c r="B35" s="4">
        <v>1012</v>
      </c>
      <c r="C35" s="4">
        <v>4807</v>
      </c>
      <c r="D35" s="4">
        <v>34.090000000000003</v>
      </c>
      <c r="E35" s="4">
        <v>37.57</v>
      </c>
      <c r="F35" s="1">
        <v>11.76</v>
      </c>
      <c r="G35" s="1">
        <v>73500</v>
      </c>
      <c r="H35" s="1">
        <v>12130</v>
      </c>
      <c r="I35" s="1">
        <v>236</v>
      </c>
      <c r="J35" s="1"/>
      <c r="K35" s="1">
        <v>135</v>
      </c>
    </row>
    <row r="36" spans="1:11" x14ac:dyDescent="0.2">
      <c r="A36" s="3" t="s">
        <v>311</v>
      </c>
      <c r="B36" s="4">
        <v>1012</v>
      </c>
      <c r="C36" s="4">
        <v>5000</v>
      </c>
      <c r="D36" s="4">
        <v>34.090000000000003</v>
      </c>
      <c r="E36" s="4">
        <v>44.51</v>
      </c>
      <c r="F36" s="4">
        <v>11.76</v>
      </c>
      <c r="G36" s="4">
        <v>89000</v>
      </c>
      <c r="H36" s="4">
        <v>12130</v>
      </c>
      <c r="I36" s="4">
        <f>2*140.6</f>
        <v>281.2</v>
      </c>
      <c r="K36" s="3">
        <v>135</v>
      </c>
    </row>
    <row r="37" spans="1:11" x14ac:dyDescent="0.2">
      <c r="A37" s="3" t="s">
        <v>312</v>
      </c>
      <c r="B37" s="4">
        <v>1012</v>
      </c>
      <c r="C37" s="4">
        <v>12686</v>
      </c>
      <c r="D37" s="4">
        <v>60.3</v>
      </c>
      <c r="E37" s="4">
        <v>58.82</v>
      </c>
      <c r="F37" s="4">
        <v>17.39</v>
      </c>
      <c r="G37" s="4">
        <v>230000</v>
      </c>
      <c r="H37" s="4">
        <v>12600</v>
      </c>
      <c r="I37" s="4">
        <v>632</v>
      </c>
      <c r="J37" s="4"/>
      <c r="K37" s="4">
        <v>258.75</v>
      </c>
    </row>
    <row r="38" spans="1:11" x14ac:dyDescent="0.2">
      <c r="A38" s="3" t="s">
        <v>313</v>
      </c>
      <c r="B38" s="4">
        <v>945</v>
      </c>
      <c r="C38" s="4">
        <v>14816</v>
      </c>
      <c r="D38" s="4">
        <v>79.8</v>
      </c>
      <c r="E38" s="4">
        <v>72.8</v>
      </c>
      <c r="F38" s="4">
        <v>24.1</v>
      </c>
      <c r="G38" s="1">
        <v>559995</v>
      </c>
      <c r="H38" s="1">
        <v>13100</v>
      </c>
      <c r="I38" s="1">
        <v>1428</v>
      </c>
      <c r="J38" s="1"/>
      <c r="K38" s="1">
        <v>675</v>
      </c>
    </row>
    <row r="39" spans="1:11" x14ac:dyDescent="0.2">
      <c r="A39" s="3" t="s">
        <v>315</v>
      </c>
      <c r="B39" s="3">
        <v>904</v>
      </c>
      <c r="C39" s="3">
        <v>8056</v>
      </c>
      <c r="D39" s="3">
        <v>23.72</v>
      </c>
      <c r="E39" s="3">
        <v>27.23</v>
      </c>
      <c r="F39" s="3">
        <v>7.67</v>
      </c>
      <c r="G39" s="3">
        <v>33838</v>
      </c>
      <c r="H39" s="3">
        <v>13715</v>
      </c>
      <c r="I39" s="3">
        <f>2*61.6</f>
        <v>123.2</v>
      </c>
      <c r="K39" s="3">
        <f>2*36*0.75</f>
        <v>54</v>
      </c>
    </row>
    <row r="40" spans="1:11" x14ac:dyDescent="0.2">
      <c r="A40" s="3" t="s">
        <v>316</v>
      </c>
      <c r="B40" s="3">
        <v>956</v>
      </c>
      <c r="C40" s="3">
        <v>9260</v>
      </c>
      <c r="D40" s="3">
        <v>26.54</v>
      </c>
      <c r="E40" s="3">
        <v>27.79</v>
      </c>
      <c r="F40" s="3">
        <v>7.77</v>
      </c>
      <c r="G40" s="3">
        <v>34859</v>
      </c>
      <c r="H40" s="3">
        <v>15545</v>
      </c>
      <c r="I40" s="3">
        <f>2*67.4</f>
        <v>134.80000000000001</v>
      </c>
      <c r="K40" s="3">
        <f>3*40*0.75</f>
        <v>90</v>
      </c>
    </row>
    <row r="41" spans="1:11" x14ac:dyDescent="0.2">
      <c r="A41" s="3" t="s">
        <v>317</v>
      </c>
      <c r="B41" s="3">
        <v>926</v>
      </c>
      <c r="C41" s="3">
        <v>9260</v>
      </c>
      <c r="D41" s="3">
        <v>26.97</v>
      </c>
      <c r="E41" s="3">
        <v>29.39</v>
      </c>
      <c r="F41" s="3">
        <v>7.87</v>
      </c>
      <c r="G41" s="3">
        <v>41277</v>
      </c>
      <c r="H41" s="3">
        <v>15545</v>
      </c>
      <c r="I41" s="3">
        <f>2*68.4</f>
        <v>136.80000000000001</v>
      </c>
      <c r="K41" s="3">
        <f>3*40*0.75</f>
        <v>90</v>
      </c>
    </row>
    <row r="42" spans="1:11" x14ac:dyDescent="0.2">
      <c r="A42" s="3" t="s">
        <v>318</v>
      </c>
      <c r="B42" s="3">
        <v>956</v>
      </c>
      <c r="C42" s="3">
        <v>11482</v>
      </c>
      <c r="D42" s="3">
        <v>28.96</v>
      </c>
      <c r="E42" s="3">
        <v>29.29</v>
      </c>
      <c r="F42" s="3">
        <v>7.7</v>
      </c>
      <c r="G42" s="3">
        <v>41549</v>
      </c>
      <c r="H42" s="3">
        <v>15545</v>
      </c>
      <c r="I42" s="3">
        <f>2*69.7</f>
        <v>139.4</v>
      </c>
      <c r="K42" s="3">
        <f>3*40*0.75</f>
        <v>90</v>
      </c>
    </row>
    <row r="43" spans="1:11" x14ac:dyDescent="0.2">
      <c r="A43" s="1" t="s">
        <v>319</v>
      </c>
      <c r="B43" s="3">
        <v>1012</v>
      </c>
      <c r="C43" s="3">
        <v>11084</v>
      </c>
      <c r="D43" s="3">
        <v>34.32</v>
      </c>
      <c r="E43" s="3">
        <v>33.630000000000003</v>
      </c>
      <c r="F43" s="3">
        <v>12.57</v>
      </c>
      <c r="G43" s="3">
        <v>77565</v>
      </c>
      <c r="H43" s="3">
        <v>12495</v>
      </c>
      <c r="I43" s="3">
        <f>2*121.4</f>
        <v>242.8</v>
      </c>
      <c r="K43" s="3">
        <v>202.5</v>
      </c>
    </row>
    <row r="44" spans="1:11" x14ac:dyDescent="0.2">
      <c r="A44" s="1" t="s">
        <v>320</v>
      </c>
      <c r="B44" s="3">
        <v>1012</v>
      </c>
      <c r="C44" s="3">
        <v>9880</v>
      </c>
      <c r="D44" s="3">
        <v>34.32</v>
      </c>
      <c r="E44" s="3">
        <v>39.47</v>
      </c>
      <c r="F44" s="3">
        <v>12.57</v>
      </c>
      <c r="G44" s="3">
        <v>79015</v>
      </c>
      <c r="H44" s="3">
        <v>12495</v>
      </c>
      <c r="I44" s="3">
        <f>2*121.4</f>
        <v>242.8</v>
      </c>
      <c r="K44" s="3">
        <v>202.5</v>
      </c>
    </row>
    <row r="45" spans="1:11" x14ac:dyDescent="0.2">
      <c r="A45" s="3" t="s">
        <v>321</v>
      </c>
      <c r="B45" s="3">
        <v>835</v>
      </c>
      <c r="C45" s="3">
        <v>3707</v>
      </c>
      <c r="D45" s="3">
        <v>15.49</v>
      </c>
      <c r="E45" s="3">
        <v>16.260000000000002</v>
      </c>
      <c r="F45" s="3">
        <v>4.67</v>
      </c>
      <c r="G45" s="3">
        <v>7761</v>
      </c>
      <c r="H45" s="3">
        <v>13715</v>
      </c>
      <c r="I45" s="3">
        <f>2*16.11</f>
        <v>32.22</v>
      </c>
      <c r="K45" s="3">
        <f>28.5*600/1000</f>
        <v>17.100000000000001</v>
      </c>
    </row>
    <row r="46" spans="1:11" x14ac:dyDescent="0.2">
      <c r="A46" s="3" t="s">
        <v>322</v>
      </c>
      <c r="B46" s="3">
        <v>795</v>
      </c>
      <c r="C46" s="3">
        <v>3259</v>
      </c>
      <c r="D46" s="3">
        <v>16.690000000000001</v>
      </c>
      <c r="E46" s="3">
        <v>14.91</v>
      </c>
      <c r="F46" s="3">
        <v>4.62</v>
      </c>
      <c r="G46" s="3">
        <v>7634</v>
      </c>
      <c r="H46" s="3">
        <v>13715</v>
      </c>
      <c r="I46" s="3">
        <f>2*15.12</f>
        <v>30.24</v>
      </c>
      <c r="K46" s="3">
        <f>2*28*300/1000</f>
        <v>16.8</v>
      </c>
    </row>
    <row r="47" spans="1:11" x14ac:dyDescent="0.2">
      <c r="A47" s="3" t="s">
        <v>323</v>
      </c>
      <c r="B47" s="3">
        <v>817</v>
      </c>
      <c r="C47" s="3">
        <v>3441</v>
      </c>
      <c r="D47" s="3">
        <v>16.97</v>
      </c>
      <c r="E47" s="3">
        <v>16</v>
      </c>
      <c r="F47" s="3">
        <v>5.23</v>
      </c>
      <c r="G47" s="3">
        <v>9163</v>
      </c>
      <c r="H47" s="3">
        <v>13715</v>
      </c>
      <c r="I47" s="3">
        <f>2*18.32</f>
        <v>36.64</v>
      </c>
      <c r="K47" s="3">
        <f>3*28*300/1000</f>
        <v>25.2</v>
      </c>
    </row>
    <row r="48" spans="1:11" x14ac:dyDescent="0.2">
      <c r="A48" s="3" t="s">
        <v>324</v>
      </c>
      <c r="B48" s="3">
        <v>848</v>
      </c>
      <c r="C48" s="3">
        <v>5904</v>
      </c>
      <c r="D48" s="3">
        <v>22.05</v>
      </c>
      <c r="E48" s="3">
        <v>19.350000000000001</v>
      </c>
      <c r="F48" s="3">
        <v>6.2</v>
      </c>
      <c r="G48" s="3">
        <v>13959</v>
      </c>
      <c r="H48" s="3">
        <v>14325</v>
      </c>
      <c r="I48" s="3">
        <f>2*26.03</f>
        <v>52.06</v>
      </c>
      <c r="K48" s="3">
        <v>25.2</v>
      </c>
    </row>
    <row r="49" spans="1:12" x14ac:dyDescent="0.2">
      <c r="A49" s="3" t="s">
        <v>325</v>
      </c>
      <c r="B49" s="3">
        <v>850</v>
      </c>
      <c r="C49" s="3">
        <v>4248</v>
      </c>
      <c r="D49" s="3">
        <v>16.940000000000001</v>
      </c>
      <c r="E49" s="3">
        <v>17.3</v>
      </c>
      <c r="F49" s="3">
        <v>5.82</v>
      </c>
      <c r="G49" s="3">
        <v>11839</v>
      </c>
      <c r="H49" s="3">
        <v>13715</v>
      </c>
      <c r="I49" s="3">
        <f>2*19.66</f>
        <v>39.32</v>
      </c>
      <c r="K49" s="3">
        <f>2*300*30/1000</f>
        <v>18</v>
      </c>
    </row>
    <row r="50" spans="1:12" x14ac:dyDescent="0.2">
      <c r="A50" s="3" t="s">
        <v>326</v>
      </c>
      <c r="B50" s="3">
        <v>861</v>
      </c>
      <c r="C50" s="3">
        <v>3815</v>
      </c>
      <c r="D50" s="3">
        <v>15.51</v>
      </c>
      <c r="E50" s="3">
        <v>16.940000000000001</v>
      </c>
      <c r="F50" s="3">
        <v>4.3099999999999996</v>
      </c>
      <c r="G50" s="3">
        <v>9752</v>
      </c>
      <c r="H50" s="3">
        <v>15545</v>
      </c>
      <c r="I50" s="3">
        <f>2*17.13</f>
        <v>34.26</v>
      </c>
    </row>
    <row r="51" spans="1:12" x14ac:dyDescent="0.2">
      <c r="A51" s="3" t="s">
        <v>327</v>
      </c>
      <c r="B51" s="3">
        <v>861</v>
      </c>
      <c r="C51" s="3">
        <v>3778</v>
      </c>
      <c r="D51" s="3">
        <v>15.51</v>
      </c>
      <c r="E51" s="3">
        <v>17.559999999999999</v>
      </c>
      <c r="F51" s="3">
        <v>4.3099999999999996</v>
      </c>
      <c r="G51" s="3">
        <v>9752</v>
      </c>
      <c r="H51" s="3">
        <v>15545</v>
      </c>
      <c r="I51" s="3">
        <v>34.26</v>
      </c>
    </row>
    <row r="52" spans="1:12" x14ac:dyDescent="0.2">
      <c r="A52" s="3" t="s">
        <v>328</v>
      </c>
      <c r="B52" s="3">
        <v>870</v>
      </c>
      <c r="C52" s="3">
        <v>5556</v>
      </c>
      <c r="D52" s="3">
        <v>18.75</v>
      </c>
      <c r="E52" s="3">
        <v>20.76</v>
      </c>
      <c r="F52" s="3">
        <v>6.08</v>
      </c>
      <c r="G52" s="3">
        <v>16125</v>
      </c>
      <c r="H52" s="3">
        <v>14935</v>
      </c>
      <c r="I52" s="3">
        <f>2*27.1</f>
        <v>54.2</v>
      </c>
    </row>
    <row r="53" spans="1:12" x14ac:dyDescent="0.2">
      <c r="A53" s="3" t="s">
        <v>329</v>
      </c>
      <c r="B53" s="3">
        <v>852</v>
      </c>
      <c r="C53" s="3">
        <v>3709</v>
      </c>
      <c r="D53" s="3">
        <v>13.26</v>
      </c>
      <c r="E53" s="3">
        <v>14.76</v>
      </c>
      <c r="F53" s="3">
        <v>4.24</v>
      </c>
      <c r="G53" s="3">
        <v>7394</v>
      </c>
      <c r="H53" s="3">
        <v>13715</v>
      </c>
      <c r="I53" s="3">
        <f>2*13.56</f>
        <v>27.12</v>
      </c>
      <c r="K53" s="3">
        <f>2*28.5*400/1000</f>
        <v>22.8</v>
      </c>
    </row>
    <row r="54" spans="1:12" x14ac:dyDescent="0.2">
      <c r="A54" s="3" t="s">
        <v>330</v>
      </c>
      <c r="B54" s="3">
        <v>463</v>
      </c>
      <c r="C54" s="3">
        <v>2129</v>
      </c>
      <c r="D54" s="3">
        <v>13.16</v>
      </c>
      <c r="E54" s="3">
        <v>12.37</v>
      </c>
      <c r="F54" s="3">
        <v>4.09</v>
      </c>
      <c r="G54" s="3">
        <v>3921</v>
      </c>
      <c r="H54" s="3">
        <v>12495</v>
      </c>
      <c r="I54" s="3">
        <f>2*6.49</f>
        <v>12.98</v>
      </c>
      <c r="K54" s="3">
        <f>2*300*28/1000</f>
        <v>16.8</v>
      </c>
    </row>
    <row r="55" spans="1:12" x14ac:dyDescent="0.2">
      <c r="A55" s="3" t="s">
        <v>331</v>
      </c>
      <c r="B55" s="3">
        <v>900</v>
      </c>
      <c r="C55" s="3">
        <v>3942</v>
      </c>
      <c r="D55" s="3">
        <v>12.9</v>
      </c>
      <c r="E55" s="3">
        <v>14.26</v>
      </c>
      <c r="F55" s="3">
        <v>4.37</v>
      </c>
      <c r="G55" s="3">
        <v>6328</v>
      </c>
      <c r="H55" s="3">
        <v>14935</v>
      </c>
      <c r="I55" s="3">
        <f>2*10.23</f>
        <v>20.46</v>
      </c>
      <c r="K55" s="3">
        <f>2*325*28/1000</f>
        <v>18.2</v>
      </c>
    </row>
    <row r="56" spans="1:12" x14ac:dyDescent="0.2">
      <c r="A56" s="3" t="s">
        <v>332</v>
      </c>
      <c r="B56" s="3">
        <v>694</v>
      </c>
      <c r="C56" s="3">
        <v>2407</v>
      </c>
      <c r="D56" s="3">
        <v>11.56</v>
      </c>
      <c r="E56" s="3">
        <v>10.19</v>
      </c>
      <c r="F56" s="3">
        <v>3.35</v>
      </c>
      <c r="G56" s="3">
        <v>2722</v>
      </c>
      <c r="H56" s="3">
        <v>12495</v>
      </c>
      <c r="I56" s="3">
        <v>8</v>
      </c>
      <c r="K56" s="3">
        <f>2*200*24/1000</f>
        <v>9.6</v>
      </c>
    </row>
    <row r="57" spans="1:12" x14ac:dyDescent="0.2">
      <c r="A57" s="3" t="s">
        <v>333</v>
      </c>
      <c r="B57" s="3">
        <v>769</v>
      </c>
      <c r="C57" s="3">
        <v>2798</v>
      </c>
      <c r="D57" s="3">
        <v>12.34</v>
      </c>
      <c r="E57" s="3">
        <v>10.92</v>
      </c>
      <c r="F57" s="3">
        <v>2.98</v>
      </c>
      <c r="G57" s="3">
        <v>3272</v>
      </c>
      <c r="H57" s="3">
        <v>12495</v>
      </c>
      <c r="I57" s="3">
        <v>13.48</v>
      </c>
    </row>
    <row r="59" spans="1:12" x14ac:dyDescent="0.2">
      <c r="A59" s="4" t="s">
        <v>117</v>
      </c>
      <c r="B59" s="4">
        <v>676</v>
      </c>
      <c r="C59" s="4">
        <v>3333</v>
      </c>
      <c r="D59" s="4">
        <v>11.06</v>
      </c>
      <c r="E59" s="4">
        <v>10.17</v>
      </c>
      <c r="F59" s="4">
        <v>3.57</v>
      </c>
      <c r="G59" s="4">
        <v>2495</v>
      </c>
      <c r="H59" s="4">
        <v>8535</v>
      </c>
      <c r="J59" s="4">
        <v>630</v>
      </c>
    </row>
    <row r="60" spans="1:12" x14ac:dyDescent="0.2">
      <c r="A60" s="4" t="s">
        <v>118</v>
      </c>
      <c r="B60" s="4">
        <v>407</v>
      </c>
      <c r="C60" s="4">
        <v>2490</v>
      </c>
      <c r="D60" s="4">
        <v>13.11</v>
      </c>
      <c r="E60" s="4">
        <v>8.81</v>
      </c>
      <c r="F60" s="4">
        <v>3.44</v>
      </c>
      <c r="G60" s="4">
        <v>1969</v>
      </c>
      <c r="H60" s="4">
        <v>7620</v>
      </c>
      <c r="J60" s="4">
        <v>261</v>
      </c>
      <c r="K60" s="4">
        <v>3.92</v>
      </c>
    </row>
    <row r="61" spans="1:12" x14ac:dyDescent="0.2">
      <c r="A61" s="3" t="s">
        <v>307</v>
      </c>
      <c r="B61" s="3">
        <v>419</v>
      </c>
      <c r="C61" s="3">
        <v>2963</v>
      </c>
      <c r="D61" s="3">
        <v>11.68</v>
      </c>
      <c r="E61" s="3">
        <v>10.130000000000001</v>
      </c>
      <c r="F61" s="3">
        <v>3.37</v>
      </c>
      <c r="G61" s="6">
        <v>2130</v>
      </c>
      <c r="H61" s="6">
        <v>7620</v>
      </c>
      <c r="I61" s="6"/>
      <c r="J61" s="6">
        <v>336</v>
      </c>
      <c r="K61" s="6">
        <f>28*200/1000</f>
        <v>5.6</v>
      </c>
      <c r="L61" s="6"/>
    </row>
    <row r="62" spans="1:12" x14ac:dyDescent="0.2">
      <c r="A62" s="3" t="s">
        <v>314</v>
      </c>
      <c r="B62" s="3">
        <v>745</v>
      </c>
      <c r="C62" s="3">
        <v>2791</v>
      </c>
      <c r="D62" s="3">
        <v>14.04</v>
      </c>
      <c r="E62" s="3">
        <v>14.41</v>
      </c>
      <c r="F62" s="3">
        <v>3.98</v>
      </c>
      <c r="G62" s="6">
        <v>5488</v>
      </c>
      <c r="H62" s="6">
        <v>12495</v>
      </c>
      <c r="I62" s="6"/>
      <c r="J62" s="6">
        <f>2*1216</f>
        <v>2432</v>
      </c>
      <c r="K62" s="6">
        <f>2*400*28/1000</f>
        <v>22.4</v>
      </c>
    </row>
    <row r="63" spans="1:12" x14ac:dyDescent="0.2">
      <c r="A63" s="3" t="s">
        <v>334</v>
      </c>
      <c r="B63" s="3">
        <v>500</v>
      </c>
      <c r="C63" s="3">
        <v>1900</v>
      </c>
      <c r="D63" s="3">
        <v>15.32</v>
      </c>
      <c r="E63" s="3">
        <v>10.82</v>
      </c>
      <c r="F63" s="3">
        <v>4.34</v>
      </c>
      <c r="G63" s="3">
        <v>4581</v>
      </c>
      <c r="H63" s="3">
        <v>9145</v>
      </c>
      <c r="J63" s="3">
        <v>820</v>
      </c>
      <c r="K63" s="3">
        <f>2*28*250/1000</f>
        <v>14</v>
      </c>
    </row>
    <row r="64" spans="1:12" x14ac:dyDescent="0.2">
      <c r="A64" s="3" t="s">
        <v>335</v>
      </c>
      <c r="B64" s="3">
        <v>593</v>
      </c>
      <c r="C64" s="3">
        <v>2407</v>
      </c>
      <c r="D64" s="3">
        <v>13.72</v>
      </c>
      <c r="E64" s="3">
        <v>11.74</v>
      </c>
      <c r="F64" s="3">
        <v>3.9</v>
      </c>
      <c r="G64" s="3">
        <v>3856</v>
      </c>
      <c r="H64" s="3">
        <v>9450</v>
      </c>
      <c r="J64" s="3">
        <v>746</v>
      </c>
      <c r="K64" s="3">
        <f>28*200/1000</f>
        <v>5.6</v>
      </c>
    </row>
    <row r="65" spans="1:11" x14ac:dyDescent="0.2">
      <c r="A65" s="3" t="s">
        <v>336</v>
      </c>
      <c r="B65" s="3">
        <v>519</v>
      </c>
      <c r="C65" s="3">
        <v>2379</v>
      </c>
      <c r="D65" s="3">
        <v>16.23</v>
      </c>
      <c r="E65" s="3">
        <v>10.82</v>
      </c>
      <c r="F65" s="3">
        <v>4.55</v>
      </c>
      <c r="G65" s="3">
        <v>4763</v>
      </c>
      <c r="H65" s="3">
        <v>9145</v>
      </c>
      <c r="J65" s="3">
        <f>2*559</f>
        <v>1118</v>
      </c>
    </row>
    <row r="66" spans="1:11" x14ac:dyDescent="0.2">
      <c r="A66" s="3" t="s">
        <v>337</v>
      </c>
      <c r="B66" s="3">
        <v>482</v>
      </c>
      <c r="C66" s="3">
        <v>1852</v>
      </c>
      <c r="D66" s="3">
        <v>13.11</v>
      </c>
      <c r="E66" s="3">
        <v>9.02</v>
      </c>
      <c r="F66" s="3">
        <v>3.45</v>
      </c>
      <c r="G66" s="3">
        <v>2310</v>
      </c>
      <c r="H66" s="3">
        <v>9145</v>
      </c>
      <c r="J66" s="3">
        <v>767</v>
      </c>
      <c r="K66" s="3">
        <f>28*200/1000</f>
        <v>5.6</v>
      </c>
    </row>
    <row r="67" spans="1:11" x14ac:dyDescent="0.2">
      <c r="A67" s="3" t="s">
        <v>338</v>
      </c>
      <c r="B67" s="3">
        <v>394</v>
      </c>
      <c r="C67" s="3">
        <v>1889</v>
      </c>
      <c r="D67" s="3">
        <v>13.11</v>
      </c>
      <c r="E67" s="3">
        <v>8.81</v>
      </c>
      <c r="F67" s="3">
        <v>3.44</v>
      </c>
      <c r="G67" s="3">
        <v>1969</v>
      </c>
      <c r="H67" s="3">
        <v>7620</v>
      </c>
      <c r="J67" s="3">
        <v>261</v>
      </c>
      <c r="K67" s="3">
        <f>2*28*75/1000</f>
        <v>4.2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0">
    <tabColor rgb="FF92D050"/>
  </sheetPr>
  <dimension ref="A1:K50"/>
  <sheetViews>
    <sheetView topLeftCell="A2" zoomScale="80" zoomScaleNormal="80" zoomScalePageLayoutView="80" workbookViewId="0">
      <selection activeCell="A2" sqref="A2:A50"/>
    </sheetView>
  </sheetViews>
  <sheetFormatPr defaultColWidth="8.85546875" defaultRowHeight="15" x14ac:dyDescent="0.2"/>
  <cols>
    <col min="1" max="1" width="30.28515625" style="3" bestFit="1" customWidth="1"/>
    <col min="2" max="2" width="29.140625" style="3" bestFit="1" customWidth="1"/>
    <col min="3" max="3" width="14.28515625" style="3" bestFit="1" customWidth="1"/>
    <col min="4" max="4" width="17" style="3" bestFit="1" customWidth="1"/>
    <col min="5" max="5" width="13.42578125" style="3" bestFit="1" customWidth="1"/>
    <col min="6" max="6" width="12.85546875" style="3" bestFit="1" customWidth="1"/>
    <col min="7" max="7" width="13.42578125" style="3" bestFit="1" customWidth="1"/>
    <col min="8" max="8" width="25" style="3" bestFit="1" customWidth="1"/>
    <col min="9" max="9" width="18.140625" style="3" bestFit="1" customWidth="1"/>
    <col min="10" max="10" width="27.28515625" style="3" bestFit="1" customWidth="1"/>
    <col min="11" max="11" width="31.28515625" style="3" bestFit="1" customWidth="1"/>
    <col min="12" max="16384" width="8.85546875" style="3"/>
  </cols>
  <sheetData>
    <row r="1" spans="1:1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19</v>
      </c>
      <c r="I1" s="2" t="s">
        <v>20</v>
      </c>
      <c r="J1" s="2" t="s">
        <v>7</v>
      </c>
      <c r="K1" s="2" t="s">
        <v>8</v>
      </c>
    </row>
    <row r="2" spans="1:11" x14ac:dyDescent="0.2">
      <c r="A2" s="4" t="s">
        <v>119</v>
      </c>
      <c r="B2" s="4">
        <v>583</v>
      </c>
      <c r="C2" s="4">
        <v>1753</v>
      </c>
      <c r="D2" s="4">
        <v>17.649999999999999</v>
      </c>
      <c r="E2" s="4">
        <v>14.22</v>
      </c>
      <c r="F2" s="4">
        <v>4.37</v>
      </c>
      <c r="G2" s="4">
        <v>6804</v>
      </c>
      <c r="H2" s="4">
        <v>10670</v>
      </c>
      <c r="J2" s="4">
        <v>1566</v>
      </c>
      <c r="K2" s="4">
        <v>16.8</v>
      </c>
    </row>
    <row r="3" spans="1:11" x14ac:dyDescent="0.2">
      <c r="A3" s="4" t="s">
        <v>120</v>
      </c>
      <c r="B3" s="4">
        <v>315</v>
      </c>
      <c r="C3" s="4">
        <v>1092</v>
      </c>
      <c r="D3" s="4">
        <v>11.94</v>
      </c>
      <c r="E3" s="4">
        <v>10.86</v>
      </c>
      <c r="F3" s="4">
        <v>4.18</v>
      </c>
      <c r="G3" s="4">
        <v>3175</v>
      </c>
      <c r="H3" s="4">
        <v>7620</v>
      </c>
      <c r="J3" s="4">
        <v>626</v>
      </c>
      <c r="K3" s="4">
        <v>3.36</v>
      </c>
    </row>
    <row r="4" spans="1:11" x14ac:dyDescent="0.2">
      <c r="A4" s="4" t="s">
        <v>121</v>
      </c>
      <c r="B4" s="4">
        <v>265</v>
      </c>
      <c r="C4" s="4">
        <v>2500</v>
      </c>
      <c r="D4" s="4">
        <v>13.75</v>
      </c>
      <c r="E4" s="4">
        <v>8.08</v>
      </c>
      <c r="F4" s="4">
        <v>3.05</v>
      </c>
      <c r="G4" s="4">
        <v>2200</v>
      </c>
      <c r="H4" s="4">
        <v>6095</v>
      </c>
      <c r="J4" s="4">
        <v>314</v>
      </c>
      <c r="K4" s="4">
        <v>2.1</v>
      </c>
    </row>
    <row r="5" spans="1:11" x14ac:dyDescent="0.2">
      <c r="A5" s="4" t="s">
        <v>122</v>
      </c>
      <c r="B5" s="4">
        <v>387</v>
      </c>
      <c r="C5" s="4">
        <v>968</v>
      </c>
      <c r="D5" s="4">
        <v>14</v>
      </c>
      <c r="E5" s="4">
        <v>11.7</v>
      </c>
      <c r="F5" s="4">
        <v>4.0999999999999996</v>
      </c>
      <c r="G5" s="4">
        <v>3290</v>
      </c>
      <c r="H5" s="4"/>
      <c r="J5" s="4">
        <v>522</v>
      </c>
      <c r="K5" s="4">
        <v>0.96</v>
      </c>
    </row>
    <row r="6" spans="1:11" x14ac:dyDescent="0.2">
      <c r="A6" s="4" t="s">
        <v>123</v>
      </c>
      <c r="B6" s="4">
        <v>385</v>
      </c>
      <c r="C6" s="4">
        <v>1839</v>
      </c>
      <c r="D6" s="4">
        <v>11.53</v>
      </c>
      <c r="E6" s="4">
        <v>9.09</v>
      </c>
      <c r="F6" s="4">
        <v>2.97</v>
      </c>
      <c r="G6" s="4">
        <v>2495</v>
      </c>
      <c r="H6" s="4">
        <v>6305</v>
      </c>
      <c r="J6" s="4">
        <v>448</v>
      </c>
      <c r="K6" s="3">
        <v>5.6</v>
      </c>
    </row>
    <row r="7" spans="1:11" x14ac:dyDescent="0.2">
      <c r="A7" s="4" t="s">
        <v>124</v>
      </c>
      <c r="B7" s="4">
        <v>389</v>
      </c>
      <c r="C7" s="4">
        <v>2300</v>
      </c>
      <c r="D7" s="4">
        <v>11.68</v>
      </c>
      <c r="E7" s="4">
        <v>8.93</v>
      </c>
      <c r="F7" s="4">
        <v>2.69</v>
      </c>
      <c r="G7" s="4">
        <v>2200</v>
      </c>
      <c r="H7" s="4">
        <v>6095</v>
      </c>
      <c r="J7" s="4">
        <v>412</v>
      </c>
    </row>
    <row r="8" spans="1:11" x14ac:dyDescent="0.2">
      <c r="A8" s="4" t="s">
        <v>125</v>
      </c>
      <c r="B8" s="4">
        <v>189</v>
      </c>
      <c r="C8" s="4">
        <v>650</v>
      </c>
      <c r="D8" s="4">
        <v>11.3</v>
      </c>
      <c r="E8" s="4">
        <v>7.4</v>
      </c>
      <c r="F8" s="4">
        <v>2.92</v>
      </c>
      <c r="G8" s="4">
        <v>950</v>
      </c>
      <c r="H8" s="4">
        <v>3000</v>
      </c>
      <c r="J8" s="4">
        <v>119.4</v>
      </c>
    </row>
    <row r="9" spans="1:11" x14ac:dyDescent="0.2">
      <c r="A9" s="4" t="s">
        <v>126</v>
      </c>
      <c r="B9" s="4">
        <v>311</v>
      </c>
      <c r="C9" s="4">
        <v>1426</v>
      </c>
      <c r="D9" s="4">
        <v>11.75</v>
      </c>
      <c r="E9" s="4">
        <v>8.41</v>
      </c>
      <c r="F9" s="4">
        <v>2.59</v>
      </c>
      <c r="G9" s="4">
        <v>1723</v>
      </c>
      <c r="H9" s="4">
        <v>4572</v>
      </c>
      <c r="J9" s="4">
        <v>168</v>
      </c>
      <c r="K9" s="3">
        <v>1.68</v>
      </c>
    </row>
    <row r="10" spans="1:11" x14ac:dyDescent="0.2">
      <c r="A10" s="4" t="s">
        <v>127</v>
      </c>
      <c r="B10" s="4">
        <v>269</v>
      </c>
      <c r="C10" s="4">
        <v>1148</v>
      </c>
      <c r="D10" s="4">
        <v>11.4</v>
      </c>
      <c r="E10" s="4">
        <v>8.66</v>
      </c>
      <c r="F10" s="4">
        <v>2.85</v>
      </c>
      <c r="G10" s="4">
        <v>1230</v>
      </c>
      <c r="H10" s="4">
        <v>4570</v>
      </c>
      <c r="J10" s="4">
        <v>147</v>
      </c>
      <c r="K10" s="3">
        <v>0.96</v>
      </c>
    </row>
    <row r="11" spans="1:11" x14ac:dyDescent="0.2">
      <c r="A11" s="4" t="s">
        <v>128</v>
      </c>
      <c r="B11" s="4">
        <v>324</v>
      </c>
      <c r="C11" s="4">
        <v>1609</v>
      </c>
      <c r="D11" s="4">
        <v>15.88</v>
      </c>
      <c r="E11" s="4">
        <v>12.68</v>
      </c>
      <c r="F11" s="4">
        <v>4.72</v>
      </c>
      <c r="G11" s="4">
        <v>3969</v>
      </c>
      <c r="H11" s="4">
        <v>7620</v>
      </c>
      <c r="J11" s="4">
        <v>503</v>
      </c>
      <c r="K11" s="3">
        <v>5.6</v>
      </c>
    </row>
    <row r="12" spans="1:11" x14ac:dyDescent="0.2">
      <c r="A12" s="4" t="s">
        <v>129</v>
      </c>
      <c r="B12" s="4">
        <v>602</v>
      </c>
      <c r="C12" s="4">
        <v>2535</v>
      </c>
      <c r="D12" s="4">
        <v>13.11</v>
      </c>
      <c r="E12" s="4">
        <v>11.2</v>
      </c>
      <c r="F12" s="4">
        <v>3.81</v>
      </c>
      <c r="G12" s="4">
        <v>3402</v>
      </c>
      <c r="H12" s="4">
        <v>8535</v>
      </c>
      <c r="J12" s="4">
        <v>560</v>
      </c>
    </row>
    <row r="13" spans="1:11" x14ac:dyDescent="0.2">
      <c r="A13" s="4" t="s">
        <v>130</v>
      </c>
      <c r="B13" s="4">
        <v>269</v>
      </c>
      <c r="C13" s="4">
        <v>1352</v>
      </c>
      <c r="D13" s="4">
        <v>12.37</v>
      </c>
      <c r="E13" s="4">
        <v>10.24</v>
      </c>
      <c r="F13" s="4">
        <v>3.89</v>
      </c>
      <c r="G13" s="4">
        <v>2155</v>
      </c>
      <c r="H13" s="4">
        <v>6095</v>
      </c>
      <c r="J13" s="4">
        <v>335</v>
      </c>
      <c r="K13" s="3">
        <v>1.33</v>
      </c>
    </row>
    <row r="14" spans="1:11" x14ac:dyDescent="0.2">
      <c r="A14" s="4" t="s">
        <v>131</v>
      </c>
      <c r="B14" s="4">
        <v>519</v>
      </c>
      <c r="C14" s="4">
        <v>2913</v>
      </c>
      <c r="D14" s="4">
        <v>16.28</v>
      </c>
      <c r="E14" s="4">
        <v>14.4</v>
      </c>
      <c r="F14" s="4">
        <v>4.26</v>
      </c>
      <c r="G14" s="4">
        <v>4740</v>
      </c>
      <c r="H14" s="4">
        <v>9145</v>
      </c>
      <c r="J14" s="4">
        <v>895</v>
      </c>
      <c r="K14" s="3">
        <v>25.2</v>
      </c>
    </row>
    <row r="15" spans="1:11" x14ac:dyDescent="0.2">
      <c r="A15" s="4" t="s">
        <v>132</v>
      </c>
      <c r="B15" s="4">
        <v>222</v>
      </c>
      <c r="C15" s="4">
        <v>1527</v>
      </c>
      <c r="D15" s="4">
        <v>10.029999999999999</v>
      </c>
      <c r="E15" s="4">
        <v>7.47</v>
      </c>
      <c r="F15" s="4">
        <v>2.54</v>
      </c>
      <c r="G15" s="4">
        <v>1134</v>
      </c>
      <c r="H15" s="4">
        <v>4570</v>
      </c>
      <c r="J15" s="4">
        <v>175</v>
      </c>
      <c r="K15" s="3">
        <v>0.72</v>
      </c>
    </row>
    <row r="16" spans="1:11" x14ac:dyDescent="0.2">
      <c r="A16" s="4" t="s">
        <v>133</v>
      </c>
      <c r="B16" s="4">
        <v>220</v>
      </c>
      <c r="C16" s="4">
        <v>1076</v>
      </c>
      <c r="D16" s="4">
        <v>18.18</v>
      </c>
      <c r="E16" s="4">
        <v>12.69</v>
      </c>
      <c r="F16" s="4">
        <v>6.1</v>
      </c>
      <c r="G16" s="4">
        <v>5250</v>
      </c>
      <c r="H16" s="4">
        <v>4500</v>
      </c>
      <c r="J16" s="4">
        <v>735</v>
      </c>
    </row>
    <row r="17" spans="1:11" x14ac:dyDescent="0.2">
      <c r="A17" s="4" t="s">
        <v>134</v>
      </c>
      <c r="B17" s="4">
        <v>280</v>
      </c>
      <c r="C17" s="4">
        <v>1100</v>
      </c>
      <c r="D17" s="4">
        <v>10.97</v>
      </c>
      <c r="E17" s="4">
        <v>8.61</v>
      </c>
      <c r="F17" s="4">
        <v>2.83</v>
      </c>
      <c r="G17" s="4">
        <v>1633</v>
      </c>
      <c r="H17" s="4"/>
      <c r="J17" s="4">
        <v>224</v>
      </c>
      <c r="K17" s="3">
        <v>2.2799999999999998</v>
      </c>
    </row>
    <row r="18" spans="1:11" x14ac:dyDescent="0.2">
      <c r="A18" s="4" t="s">
        <v>135</v>
      </c>
      <c r="B18" s="4">
        <v>315</v>
      </c>
      <c r="C18" s="4">
        <v>1389</v>
      </c>
      <c r="D18" s="4">
        <v>11.63</v>
      </c>
      <c r="E18" s="4">
        <v>8.1</v>
      </c>
      <c r="F18" s="4">
        <v>3.15</v>
      </c>
      <c r="G18" s="4">
        <v>1723</v>
      </c>
      <c r="H18" s="4"/>
      <c r="J18" s="4">
        <v>235</v>
      </c>
      <c r="K18" s="3">
        <v>1.96</v>
      </c>
    </row>
    <row r="19" spans="1:11" x14ac:dyDescent="0.2">
      <c r="A19" s="4" t="s">
        <v>136</v>
      </c>
      <c r="B19" s="4">
        <v>333</v>
      </c>
      <c r="C19" s="4">
        <v>1666</v>
      </c>
      <c r="D19" s="4">
        <v>7.92</v>
      </c>
      <c r="E19" s="4">
        <v>6.96</v>
      </c>
      <c r="F19" s="4">
        <v>2.08</v>
      </c>
      <c r="G19" s="4">
        <v>1111</v>
      </c>
      <c r="H19" s="4"/>
      <c r="J19" s="4">
        <v>306</v>
      </c>
    </row>
    <row r="20" spans="1:11" x14ac:dyDescent="0.2">
      <c r="A20" s="4" t="s">
        <v>137</v>
      </c>
      <c r="B20" s="4">
        <v>233</v>
      </c>
      <c r="C20" s="4">
        <v>964</v>
      </c>
      <c r="D20" s="4">
        <v>17.07</v>
      </c>
      <c r="E20" s="4">
        <v>10.41</v>
      </c>
      <c r="F20" s="4">
        <v>3.71</v>
      </c>
      <c r="G20" s="4">
        <v>5670</v>
      </c>
      <c r="H20" s="4"/>
      <c r="J20" s="4">
        <v>783</v>
      </c>
      <c r="K20" s="3">
        <v>6</v>
      </c>
    </row>
    <row r="21" spans="1:11" x14ac:dyDescent="0.2">
      <c r="A21" s="4" t="s">
        <v>138</v>
      </c>
      <c r="B21" s="4">
        <v>356</v>
      </c>
      <c r="C21" s="4">
        <v>981</v>
      </c>
      <c r="D21" s="4">
        <v>18.059999999999999</v>
      </c>
      <c r="E21" s="4">
        <v>10.88</v>
      </c>
      <c r="F21" s="4">
        <v>3.96</v>
      </c>
      <c r="G21" s="4">
        <v>7257</v>
      </c>
      <c r="H21" s="4">
        <v>3962</v>
      </c>
      <c r="J21" s="4">
        <v>966</v>
      </c>
    </row>
    <row r="22" spans="1:11" x14ac:dyDescent="0.2">
      <c r="A22" s="4" t="s">
        <v>139</v>
      </c>
      <c r="B22" s="4">
        <v>202</v>
      </c>
      <c r="C22" s="4">
        <v>250</v>
      </c>
      <c r="D22" s="4">
        <v>13.42</v>
      </c>
      <c r="E22" s="4">
        <v>10.49</v>
      </c>
      <c r="F22" s="4">
        <v>3.78</v>
      </c>
      <c r="G22" s="4">
        <v>2250</v>
      </c>
      <c r="H22" s="4">
        <v>3750</v>
      </c>
      <c r="J22" s="4">
        <v>298</v>
      </c>
      <c r="K22" s="3">
        <v>2.0999999999999996</v>
      </c>
    </row>
    <row r="23" spans="1:11" x14ac:dyDescent="0.2">
      <c r="A23" s="3" t="s">
        <v>339</v>
      </c>
      <c r="B23" s="3">
        <v>219</v>
      </c>
      <c r="C23" s="3">
        <v>1352</v>
      </c>
      <c r="D23" s="3">
        <v>12.41</v>
      </c>
      <c r="E23" s="3">
        <v>8.9499999999999993</v>
      </c>
      <c r="F23" s="3">
        <v>3.89</v>
      </c>
      <c r="G23" s="3">
        <v>1814</v>
      </c>
      <c r="H23" s="3">
        <v>6095</v>
      </c>
      <c r="J23" s="3">
        <v>224</v>
      </c>
      <c r="K23" s="3">
        <f>14*95/1000</f>
        <v>1.33</v>
      </c>
    </row>
    <row r="24" spans="1:11" x14ac:dyDescent="0.2">
      <c r="A24" s="3" t="s">
        <v>340</v>
      </c>
      <c r="B24" s="3">
        <v>343</v>
      </c>
      <c r="C24" s="3">
        <v>2037</v>
      </c>
      <c r="D24" s="3">
        <v>13.42</v>
      </c>
      <c r="E24" s="3">
        <v>8.5299999999999994</v>
      </c>
      <c r="F24" s="3">
        <v>2.4900000000000002</v>
      </c>
      <c r="G24" s="3">
        <v>1785</v>
      </c>
      <c r="H24" s="3">
        <v>5485</v>
      </c>
      <c r="J24" s="3">
        <f>2*123.5</f>
        <v>247</v>
      </c>
      <c r="K24" s="3">
        <f>2*28*70/1000</f>
        <v>3.92</v>
      </c>
    </row>
    <row r="25" spans="1:11" x14ac:dyDescent="0.2">
      <c r="A25" s="3" t="s">
        <v>341</v>
      </c>
      <c r="B25" s="3">
        <v>230</v>
      </c>
      <c r="C25" s="3">
        <v>937</v>
      </c>
      <c r="D25" s="3">
        <v>11.07</v>
      </c>
      <c r="E25" s="3">
        <v>7.43</v>
      </c>
      <c r="F25" s="3">
        <v>2.2200000000000002</v>
      </c>
      <c r="G25" s="3">
        <v>1550</v>
      </c>
      <c r="H25" s="3">
        <v>3470</v>
      </c>
      <c r="J25" s="3">
        <v>224</v>
      </c>
      <c r="K25" s="3">
        <f>28*70/1000</f>
        <v>1.96</v>
      </c>
    </row>
    <row r="26" spans="1:11" x14ac:dyDescent="0.2">
      <c r="A26" s="3" t="s">
        <v>342</v>
      </c>
      <c r="B26" s="3">
        <v>407</v>
      </c>
      <c r="C26" s="3">
        <v>2240</v>
      </c>
      <c r="D26" s="3">
        <v>16.100000000000001</v>
      </c>
      <c r="E26" s="3">
        <v>14.35</v>
      </c>
      <c r="F26" s="3">
        <v>4.66</v>
      </c>
      <c r="G26" s="3">
        <v>4600</v>
      </c>
      <c r="J26" s="3">
        <v>800</v>
      </c>
    </row>
    <row r="27" spans="1:11" x14ac:dyDescent="0.2">
      <c r="A27" s="3" t="s">
        <v>343</v>
      </c>
      <c r="B27" s="3">
        <v>200</v>
      </c>
      <c r="C27" s="3">
        <v>464</v>
      </c>
      <c r="D27" s="3">
        <v>11.02</v>
      </c>
      <c r="E27" s="3">
        <v>7.53</v>
      </c>
      <c r="F27" s="3">
        <v>2.19</v>
      </c>
      <c r="G27" s="3">
        <v>1315</v>
      </c>
      <c r="J27" s="3">
        <v>175</v>
      </c>
    </row>
    <row r="28" spans="1:11" x14ac:dyDescent="0.2">
      <c r="A28" s="3" t="s">
        <v>344</v>
      </c>
      <c r="B28" s="3">
        <v>456</v>
      </c>
      <c r="C28" s="3">
        <v>1153</v>
      </c>
      <c r="D28" s="3">
        <v>15.08</v>
      </c>
      <c r="E28" s="3">
        <v>11.89</v>
      </c>
      <c r="F28" s="3">
        <v>4.01</v>
      </c>
      <c r="G28" s="3">
        <v>4468</v>
      </c>
      <c r="H28" s="3">
        <v>9145</v>
      </c>
      <c r="J28" s="3">
        <f>2*373</f>
        <v>746</v>
      </c>
      <c r="K28" s="3">
        <f>28*250/1000</f>
        <v>7</v>
      </c>
    </row>
    <row r="29" spans="1:11" x14ac:dyDescent="0.2">
      <c r="A29" s="3" t="s">
        <v>345</v>
      </c>
      <c r="B29" s="3">
        <v>370</v>
      </c>
      <c r="C29" s="3">
        <v>1574</v>
      </c>
      <c r="D29" s="3">
        <v>12</v>
      </c>
      <c r="E29" s="3">
        <v>11.27</v>
      </c>
      <c r="F29" s="3">
        <v>3.63</v>
      </c>
      <c r="G29" s="3">
        <v>3000</v>
      </c>
      <c r="H29" s="3">
        <v>7620</v>
      </c>
      <c r="J29" s="3">
        <f>2*245</f>
        <v>490</v>
      </c>
      <c r="K29" s="3">
        <f>2*28*150/1000</f>
        <v>8.4</v>
      </c>
    </row>
    <row r="30" spans="1:11" x14ac:dyDescent="0.2">
      <c r="A30" s="3" t="s">
        <v>248</v>
      </c>
      <c r="B30" s="3">
        <v>294</v>
      </c>
      <c r="C30" s="3">
        <v>555</v>
      </c>
      <c r="D30" s="3">
        <v>12</v>
      </c>
      <c r="E30" s="3">
        <v>9.5500000000000007</v>
      </c>
      <c r="F30" s="3">
        <v>3.4</v>
      </c>
      <c r="G30" s="3">
        <v>2100</v>
      </c>
      <c r="H30" s="3">
        <v>5485</v>
      </c>
      <c r="J30" s="3">
        <f>2*149</f>
        <v>298</v>
      </c>
      <c r="K30" s="3">
        <f>2*28*70/1000</f>
        <v>3.92</v>
      </c>
    </row>
    <row r="31" spans="1:11" x14ac:dyDescent="0.2">
      <c r="A31" s="3" t="s">
        <v>346</v>
      </c>
      <c r="B31" s="3">
        <v>324</v>
      </c>
      <c r="C31" s="3">
        <v>1485</v>
      </c>
      <c r="D31" s="3">
        <v>12</v>
      </c>
      <c r="E31" s="3">
        <v>9.5500000000000007</v>
      </c>
      <c r="F31" s="3">
        <v>3.4</v>
      </c>
      <c r="G31" s="3">
        <v>2063</v>
      </c>
      <c r="H31" s="3">
        <v>6095</v>
      </c>
      <c r="J31" s="3">
        <f>2*149</f>
        <v>298</v>
      </c>
    </row>
    <row r="32" spans="1:11" x14ac:dyDescent="0.2">
      <c r="A32" s="3" t="s">
        <v>347</v>
      </c>
      <c r="B32" s="3">
        <v>311</v>
      </c>
      <c r="C32" s="3">
        <v>2183</v>
      </c>
      <c r="D32" s="3">
        <v>12.8</v>
      </c>
      <c r="E32" s="3">
        <v>11.84</v>
      </c>
      <c r="F32" s="3">
        <v>4.04</v>
      </c>
      <c r="G32" s="3">
        <v>3402</v>
      </c>
      <c r="H32" s="3">
        <v>6095</v>
      </c>
      <c r="J32" s="3">
        <v>559</v>
      </c>
      <c r="K32" s="3">
        <f>30*200/1000</f>
        <v>6</v>
      </c>
    </row>
    <row r="33" spans="1:11" x14ac:dyDescent="0.2">
      <c r="A33" s="3" t="s">
        <v>348</v>
      </c>
      <c r="B33" s="3">
        <v>400</v>
      </c>
      <c r="C33" s="3">
        <v>2000</v>
      </c>
      <c r="D33" s="3">
        <v>18</v>
      </c>
      <c r="E33" s="3">
        <v>12.44</v>
      </c>
      <c r="F33" s="3">
        <v>5.44</v>
      </c>
      <c r="G33" s="3">
        <v>6000</v>
      </c>
      <c r="H33" s="3">
        <v>6000</v>
      </c>
      <c r="J33" s="3">
        <f>2*580</f>
        <v>1160</v>
      </c>
    </row>
    <row r="34" spans="1:11" x14ac:dyDescent="0.2">
      <c r="A34" s="3" t="s">
        <v>349</v>
      </c>
      <c r="B34" s="3">
        <v>440</v>
      </c>
      <c r="C34" s="3">
        <v>1500</v>
      </c>
      <c r="G34" s="3">
        <v>3500</v>
      </c>
      <c r="H34" s="3">
        <v>8200</v>
      </c>
      <c r="J34" s="3">
        <f>2*329</f>
        <v>658</v>
      </c>
    </row>
    <row r="35" spans="1:11" x14ac:dyDescent="0.2">
      <c r="A35" s="3" t="s">
        <v>350</v>
      </c>
      <c r="B35" s="3">
        <v>440</v>
      </c>
      <c r="C35" s="3">
        <v>1568</v>
      </c>
      <c r="G35" s="3">
        <v>6400</v>
      </c>
      <c r="H35" s="3">
        <v>8200</v>
      </c>
      <c r="J35" s="3">
        <v>1020</v>
      </c>
    </row>
    <row r="36" spans="1:11" x14ac:dyDescent="0.2">
      <c r="A36" s="3" t="s">
        <v>351</v>
      </c>
      <c r="B36" s="3">
        <v>240</v>
      </c>
      <c r="C36" s="3">
        <v>1700</v>
      </c>
      <c r="D36" s="3">
        <v>13.4</v>
      </c>
      <c r="E36" s="3">
        <v>8.42</v>
      </c>
      <c r="F36" s="3">
        <v>3.05</v>
      </c>
      <c r="G36" s="3">
        <v>1400</v>
      </c>
      <c r="H36" s="3">
        <v>4000</v>
      </c>
      <c r="J36" s="3">
        <f>2*84.5</f>
        <v>169</v>
      </c>
    </row>
    <row r="37" spans="1:11" x14ac:dyDescent="0.2">
      <c r="A37" s="3" t="s">
        <v>352</v>
      </c>
      <c r="B37" s="3">
        <v>232</v>
      </c>
      <c r="C37" s="3">
        <v>729</v>
      </c>
      <c r="D37" s="3">
        <v>15.87</v>
      </c>
      <c r="E37" s="3">
        <v>10.9</v>
      </c>
      <c r="F37" s="3">
        <v>3.2</v>
      </c>
      <c r="G37" s="3">
        <v>2800</v>
      </c>
      <c r="H37" s="3">
        <v>7620</v>
      </c>
      <c r="J37" s="3">
        <v>507</v>
      </c>
    </row>
    <row r="38" spans="1:11" x14ac:dyDescent="0.2">
      <c r="A38" s="3" t="s">
        <v>353</v>
      </c>
      <c r="B38" s="3">
        <v>270</v>
      </c>
      <c r="C38" s="3">
        <v>1500</v>
      </c>
      <c r="D38" s="3">
        <v>11.18</v>
      </c>
      <c r="E38" s="3">
        <v>7.34</v>
      </c>
      <c r="F38" s="3">
        <v>2.98</v>
      </c>
      <c r="G38" s="3">
        <v>1300</v>
      </c>
      <c r="H38" s="3">
        <v>4000</v>
      </c>
      <c r="J38" s="3">
        <f>2*73.5</f>
        <v>147</v>
      </c>
    </row>
    <row r="39" spans="1:11" x14ac:dyDescent="0.2">
      <c r="A39" s="3" t="s">
        <v>354</v>
      </c>
      <c r="B39" s="3">
        <v>180</v>
      </c>
      <c r="C39" s="3">
        <v>1000</v>
      </c>
      <c r="D39" s="3">
        <v>10.86</v>
      </c>
      <c r="E39" s="3">
        <v>6.81</v>
      </c>
      <c r="F39" s="3">
        <v>2.56</v>
      </c>
      <c r="G39" s="3">
        <v>750</v>
      </c>
      <c r="H39" s="3">
        <v>3000</v>
      </c>
      <c r="J39" s="3">
        <v>84.5</v>
      </c>
    </row>
    <row r="40" spans="1:11" x14ac:dyDescent="0.2">
      <c r="A40" s="3" t="s">
        <v>355</v>
      </c>
      <c r="B40" s="3">
        <v>274</v>
      </c>
      <c r="C40" s="3">
        <v>931</v>
      </c>
      <c r="D40" s="3">
        <v>14.94</v>
      </c>
      <c r="E40" s="3">
        <v>10.86</v>
      </c>
      <c r="F40" s="3">
        <v>4.18</v>
      </c>
      <c r="G40" s="3">
        <v>2994</v>
      </c>
      <c r="H40" s="3">
        <v>4145</v>
      </c>
      <c r="J40" s="3">
        <f>2*194</f>
        <v>388</v>
      </c>
      <c r="K40" s="3">
        <f>2*24*70/1000</f>
        <v>3.36</v>
      </c>
    </row>
    <row r="41" spans="1:11" x14ac:dyDescent="0.2">
      <c r="A41" s="3" t="s">
        <v>356</v>
      </c>
      <c r="B41" s="3">
        <v>567</v>
      </c>
      <c r="C41" s="3">
        <v>2615</v>
      </c>
      <c r="D41" s="3">
        <v>16.61</v>
      </c>
      <c r="E41" s="3">
        <v>13.36</v>
      </c>
      <c r="F41" s="3">
        <v>4.5199999999999996</v>
      </c>
      <c r="G41" s="3">
        <v>5670</v>
      </c>
      <c r="H41" s="3">
        <v>10670</v>
      </c>
      <c r="J41" s="3">
        <f>2*634</f>
        <v>1268</v>
      </c>
      <c r="K41" s="3">
        <f>2*250*28/1000</f>
        <v>14</v>
      </c>
    </row>
    <row r="42" spans="1:11" x14ac:dyDescent="0.2">
      <c r="A42" s="3" t="s">
        <v>357</v>
      </c>
      <c r="B42" s="3">
        <v>574</v>
      </c>
      <c r="C42" s="3">
        <v>2981</v>
      </c>
      <c r="D42" s="3">
        <v>17.649999999999999</v>
      </c>
      <c r="E42" s="3">
        <v>13.36</v>
      </c>
      <c r="F42" s="3">
        <v>4.5199999999999996</v>
      </c>
      <c r="G42" s="3">
        <v>5670</v>
      </c>
      <c r="H42" s="3">
        <v>10670</v>
      </c>
      <c r="J42" s="3">
        <v>1268</v>
      </c>
      <c r="K42" s="3">
        <v>14</v>
      </c>
    </row>
    <row r="43" spans="1:11" x14ac:dyDescent="0.2">
      <c r="A43" s="3" t="s">
        <v>358</v>
      </c>
      <c r="B43" s="3">
        <v>404</v>
      </c>
      <c r="C43" s="3">
        <v>1533</v>
      </c>
      <c r="D43" s="3">
        <v>11.86</v>
      </c>
      <c r="E43" s="3">
        <v>8.7200000000000006</v>
      </c>
      <c r="F43" s="3">
        <v>3.02</v>
      </c>
      <c r="G43" s="3">
        <v>2155</v>
      </c>
      <c r="H43" s="3">
        <v>7620</v>
      </c>
      <c r="J43" s="3">
        <v>164</v>
      </c>
      <c r="K43" s="3">
        <f>2*28*85/1000</f>
        <v>4.76</v>
      </c>
    </row>
    <row r="44" spans="1:11" x14ac:dyDescent="0.2">
      <c r="A44" s="3" t="s">
        <v>359</v>
      </c>
      <c r="B44" s="3">
        <v>341</v>
      </c>
      <c r="C44" s="3">
        <v>1242</v>
      </c>
      <c r="D44" s="3">
        <v>10.210000000000001</v>
      </c>
      <c r="E44" s="3">
        <v>8.3800000000000008</v>
      </c>
      <c r="F44" s="3">
        <v>2.62</v>
      </c>
      <c r="G44" s="3">
        <v>1656</v>
      </c>
      <c r="H44" s="3">
        <v>5640</v>
      </c>
      <c r="J44" s="3">
        <v>224</v>
      </c>
      <c r="K44" s="3">
        <f>28*100/1000</f>
        <v>2.8</v>
      </c>
    </row>
    <row r="45" spans="1:11" x14ac:dyDescent="0.2">
      <c r="A45" s="3" t="s">
        <v>360</v>
      </c>
      <c r="B45" s="3">
        <v>250</v>
      </c>
      <c r="C45" s="3">
        <v>1013</v>
      </c>
      <c r="D45" s="3">
        <v>15.58</v>
      </c>
      <c r="E45" s="3">
        <v>8.23</v>
      </c>
      <c r="F45" s="3">
        <v>2.9</v>
      </c>
      <c r="G45" s="3">
        <v>3565</v>
      </c>
      <c r="J45" s="3">
        <v>447</v>
      </c>
      <c r="K45" s="3">
        <f>24*35/1000</f>
        <v>0.84</v>
      </c>
    </row>
    <row r="46" spans="1:11" x14ac:dyDescent="0.2">
      <c r="A46" s="3" t="s">
        <v>361</v>
      </c>
      <c r="B46" s="3">
        <v>322</v>
      </c>
      <c r="C46" s="3">
        <v>1061</v>
      </c>
      <c r="D46" s="3">
        <v>15.54</v>
      </c>
      <c r="E46" s="3">
        <v>9.32</v>
      </c>
      <c r="F46" s="3">
        <v>3.4</v>
      </c>
      <c r="G46" s="3">
        <v>4159</v>
      </c>
      <c r="J46" s="3">
        <v>507</v>
      </c>
      <c r="K46" s="3">
        <f>250*24/1000</f>
        <v>6</v>
      </c>
    </row>
    <row r="47" spans="1:11" x14ac:dyDescent="0.2">
      <c r="A47" s="3" t="s">
        <v>362</v>
      </c>
      <c r="B47" s="3">
        <v>350</v>
      </c>
      <c r="C47" s="3">
        <v>964</v>
      </c>
      <c r="D47" s="3">
        <v>17.07</v>
      </c>
      <c r="E47" s="3">
        <v>10.41</v>
      </c>
      <c r="F47" s="3">
        <v>3.71</v>
      </c>
      <c r="G47" s="3">
        <v>5670</v>
      </c>
      <c r="J47" s="3">
        <v>783</v>
      </c>
      <c r="K47" s="3">
        <f>300*24/1000</f>
        <v>7.2</v>
      </c>
    </row>
    <row r="48" spans="1:11" x14ac:dyDescent="0.2">
      <c r="A48" s="3" t="s">
        <v>363</v>
      </c>
      <c r="B48" s="3">
        <v>339</v>
      </c>
      <c r="C48" s="3">
        <v>2096</v>
      </c>
      <c r="D48" s="3">
        <v>13.72</v>
      </c>
      <c r="E48" s="3">
        <v>10.19</v>
      </c>
      <c r="F48" s="3">
        <v>4.7</v>
      </c>
      <c r="G48" s="3">
        <v>3291</v>
      </c>
      <c r="H48" s="3">
        <v>7620</v>
      </c>
      <c r="J48" s="3">
        <v>559</v>
      </c>
    </row>
    <row r="49" spans="1:11" x14ac:dyDescent="0.2">
      <c r="A49" s="3" t="s">
        <v>364</v>
      </c>
      <c r="B49" s="3">
        <v>256</v>
      </c>
      <c r="C49" s="3">
        <v>1239</v>
      </c>
      <c r="D49" s="3">
        <v>14.48</v>
      </c>
      <c r="E49" s="3">
        <v>9.86</v>
      </c>
      <c r="F49" s="3">
        <v>2.84</v>
      </c>
      <c r="H49" s="3">
        <v>3660</v>
      </c>
      <c r="K49" s="3">
        <f>24*50/1000</f>
        <v>1.2</v>
      </c>
    </row>
    <row r="50" spans="1:11" x14ac:dyDescent="0.2">
      <c r="A50" s="3" t="s">
        <v>365</v>
      </c>
      <c r="B50" s="3">
        <v>351</v>
      </c>
      <c r="C50" s="3">
        <v>827</v>
      </c>
      <c r="D50" s="3">
        <v>16.46</v>
      </c>
      <c r="E50" s="3">
        <v>10.81</v>
      </c>
      <c r="F50" s="3">
        <v>3.15</v>
      </c>
      <c r="G50" s="3">
        <v>6418</v>
      </c>
      <c r="J50" s="3">
        <v>969</v>
      </c>
      <c r="K50" s="3">
        <f>24*250/1000</f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Charts</vt:lpstr>
      </vt:variant>
      <vt:variant>
        <vt:i4>15</vt:i4>
      </vt:variant>
    </vt:vector>
  </HeadingPairs>
  <TitlesOfParts>
    <vt:vector size="26" baseType="lpstr">
      <vt:lpstr>Fuel Cell</vt:lpstr>
      <vt:lpstr>All electric and FC</vt:lpstr>
      <vt:lpstr>Unmanned</vt:lpstr>
      <vt:lpstr>Bomber and surveillance</vt:lpstr>
      <vt:lpstr>Fighter and trainer</vt:lpstr>
      <vt:lpstr>Transport</vt:lpstr>
      <vt:lpstr>Airliner and freighter</vt:lpstr>
      <vt:lpstr>Business</vt:lpstr>
      <vt:lpstr>Utility</vt:lpstr>
      <vt:lpstr>Amphibian</vt:lpstr>
      <vt:lpstr>Lightplane</vt:lpstr>
      <vt:lpstr>FC chart</vt:lpstr>
      <vt:lpstr>All electric chart</vt:lpstr>
      <vt:lpstr>Unmanned chart</vt:lpstr>
      <vt:lpstr>Bomber and surveillance chart</vt:lpstr>
      <vt:lpstr>Fighter and trainer jet chart</vt:lpstr>
      <vt:lpstr>Fighter and trainer prop chart</vt:lpstr>
      <vt:lpstr>Transport jet chart</vt:lpstr>
      <vt:lpstr>Transport prop chart</vt:lpstr>
      <vt:lpstr>Airliner freighter jet chart</vt:lpstr>
      <vt:lpstr>Airliner freighter prop chart</vt:lpstr>
      <vt:lpstr>Business jet chart</vt:lpstr>
      <vt:lpstr>Business prop chart</vt:lpstr>
      <vt:lpstr>Utility chart</vt:lpstr>
      <vt:lpstr>Amphibian chart</vt:lpstr>
      <vt:lpstr>Lightplane chart</vt:lpstr>
    </vt:vector>
  </TitlesOfParts>
  <Company>Loughborough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Aircraft Dataset</dc:title>
  <dc:creator>Alex Thirkell</dc:creator>
  <cp:lastModifiedBy>Alex Thirkell</cp:lastModifiedBy>
  <dcterms:created xsi:type="dcterms:W3CDTF">2016-12-19T10:56:32Z</dcterms:created>
  <dcterms:modified xsi:type="dcterms:W3CDTF">2021-05-15T11:32:44Z</dcterms:modified>
  <cp:category>Dataset</cp:category>
</cp:coreProperties>
</file>