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 = '1.0' encoding = 'UTF-8' standalone = 'yes'?>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mc:Choice Requires="x15">
      <x15ac:absPath xmlns:x15ac="http://schemas.microsoft.com/office/spreadsheetml/2010/11/ac" url="C:\Users\PrevostM\Desktop\"/>
    </mc:Choice>
  </mc:AlternateContent>
  <xr:revisionPtr revIDLastSave="0" documentId="8_{91DC819B-67D3-4E9A-BFF1-E64795E6AC4F}" xr6:coauthVersionLast="36" xr6:coauthVersionMax="36" xr10:uidLastSave="{00000000-0000-0000-0000-000000000000}"/>
  <bookViews>
    <workbookView xWindow="0" yWindow="0" windowWidth="17105" windowHeight="5710" tabRatio="977" xr2:uid="{00000000-000D-0000-FFFF-FFFF00000000}"/>
  </bookViews>
  <sheets>
    <sheet name="Cover Notes" sheetId="19" r:id="rId1"/>
    <sheet name="Assumptions" sheetId="2" r:id="rId2"/>
    <sheet name="SCG Composition" sheetId="6" r:id="rId3"/>
    <sheet name="Coffee Roasting Process (TAD)" sheetId="14" r:id="rId4"/>
    <sheet name="Ionosolv (TAD)" sheetId="15" r:id="rId5"/>
    <sheet name="Balances (TAD)" sheetId="13" r:id="rId6"/>
    <sheet name="P&amp;L Assumptions (TAD)" sheetId="16" r:id="rId7"/>
    <sheet name="P&amp;L" sheetId="9" r:id="rId8"/>
    <sheet name="On-Site Feasibility" sheetId="17" r:id="rId9"/>
  </sheets>
  <externalReferences>
    <externalReference r:id="rId10"/>
  </externalReferences>
  <definedNames>
    <definedName name="Acetic_acid_price" localSheetId="6">'P&amp;L Assumptions (TAD)'!$C$82</definedName>
    <definedName name="Acetic_acid_price">#REF!</definedName>
    <definedName name="Acetic_acid_yield">Assumptions!$C$20</definedName>
    <definedName name="Air_density">Assumptions!$C$7</definedName>
    <definedName name="AnnualRoastHours">Assumptions!$C$32</definedName>
    <definedName name="ARD">'Coffee Roasting Process (TAD)'!$B$26</definedName>
    <definedName name="Ash_yield_ionosolv">Assumptions!$C$45</definedName>
    <definedName name="BB_distrib_miles_day">[1]Assumptions!$C$3</definedName>
    <definedName name="Biorefinery_hourly_yield">'P&amp;L'!$Q$2</definedName>
    <definedName name="C_yield_ionosolv">Assumptions!$C$42</definedName>
    <definedName name="Cellulose_pulp_price" localSheetId="6">'P&amp;L Assumptions (TAD)'!$C$79</definedName>
    <definedName name="Cellulose_pulp_price">#REF!</definedName>
    <definedName name="CG">'Coffee Roasting Process (TAD)'!$B$41</definedName>
    <definedName name="CMC_price" localSheetId="6">'P&amp;L Assumptions (TAD)'!$C$86</definedName>
    <definedName name="CMC_price">#REF!</definedName>
    <definedName name="Coffee_bean_cycles_per_hour">Assumptions!$C$29</definedName>
    <definedName name="Coffee_bean_throughput">Assumptions!$C$34</definedName>
    <definedName name="Coffee_bean_throughput_per_cycle">Assumptions!$C$28</definedName>
    <definedName name="Cooling_air_flow_rate">Assumptions!$C$8</definedName>
    <definedName name="Cooling_fan_rating">Assumptions!$C$79</definedName>
    <definedName name="Cooling_fan_time_on">Assumptions!$C$80</definedName>
    <definedName name="cost_per_mile_beans_deliv">[1]Assumptions!$C$7</definedName>
    <definedName name="Cp__SCG">Assumptions!$C$11</definedName>
    <definedName name="Cp_water_105C">Assumptions!$C$9</definedName>
    <definedName name="Cp_water_120C">Assumptions!$C$10</definedName>
    <definedName name="Cycles_hr">Assumptions!$C$5</definedName>
    <definedName name="cycles_yr">[1]Assumptions!$C$15</definedName>
    <definedName name="Cyclone_fan_enthalpy_hr">Assumptions!$C$81</definedName>
    <definedName name="Enthalpy_cycle">Assumptions!$C$6</definedName>
    <definedName name="EtOHVap40">'Ionosolv (TAD)'!$B$28</definedName>
    <definedName name="EtOHVap78">'Ionosolv (TAD)'!$B$29</definedName>
    <definedName name="Furfural_price" localSheetId="6">'P&amp;L Assumptions (TAD)'!$C$81</definedName>
    <definedName name="Furfural_price">#REF!</definedName>
    <definedName name="Furfural_yield">Assumptions!$C$19</definedName>
    <definedName name="gas_unit_price">[1]Assumptions!$C$16</definedName>
    <definedName name="Grounds_courier_deal">[1]Assumptions!$C$5</definedName>
    <definedName name="H_yield_ionosolv">Assumptions!$C$43</definedName>
    <definedName name="heat_loss_factor">[1]Assumptions!$C$13</definedName>
    <definedName name="Hours_per_cycle" localSheetId="6">'P&amp;L Assumptions (TAD)'!$C$6</definedName>
    <definedName name="IL_quantity_per_hour">Assumptions!$C$37</definedName>
    <definedName name="Kg_roasting_cycle">[1]Assumptions!$C$11</definedName>
    <definedName name="L_yield_in_precipitation_step">Assumptions!$C$75</definedName>
    <definedName name="L_yield_ionosolv">Assumptions!$C$44</definedName>
    <definedName name="Lignin_insoluble_fraction">Assumptions!$C$17</definedName>
    <definedName name="lignin_precip_water_mass">Assumptions!$C$24</definedName>
    <definedName name="Lignin_price" localSheetId="6">'P&amp;L Assumptions (TAD)'!$C$80</definedName>
    <definedName name="Lignin_price">#REF!</definedName>
    <definedName name="Lignin_soluble_fraction">Assumptions!$C$18</definedName>
    <definedName name="MJ_kW">[1]Assumptions!$C$14</definedName>
    <definedName name="MJ_kWh">Assumptions!$C$4</definedName>
    <definedName name="net_cost_backhaul">[1]Assumptions!$C$8</definedName>
    <definedName name="percent_original_lignin">Assumptions!$C$25</definedName>
    <definedName name="PminusS">'Coffee Roasting Process (TAD)'!$B$28</definedName>
    <definedName name="Protein_in_pulp_ionosolv">Assumptions!$C$54</definedName>
    <definedName name="Protein_yield_ionosolv">Assumptions!$C$46</definedName>
    <definedName name="Proteins_price" localSheetId="6">'P&amp;L Assumptions (TAD)'!$C$83</definedName>
    <definedName name="Proteins_price">#REF!</definedName>
    <definedName name="PS">'Coffee Roasting Process (TAD)'!$B$28</definedName>
    <definedName name="QSR">'Coffee Roasting Process (TAD)'!$B$15</definedName>
    <definedName name="Quantity_of_Silverskin_input">Assumptions!$C$36</definedName>
    <definedName name="RD">'Coffee Roasting Process (TAD)'!$B$24</definedName>
    <definedName name="S">'Coffee Roasting Process (TAD)'!$B$27</definedName>
    <definedName name="ScaleUPRF">'Balances (TAD)'!$D$12</definedName>
    <definedName name="SCG_Cellulose_fraction">Assumptions!$C$14</definedName>
    <definedName name="SCG_Hemicellulose_fraction">Assumptions!$C$15</definedName>
    <definedName name="SCG_Hours_per_year" localSheetId="6">'P&amp;L Assumptions (TAD)'!$C$9</definedName>
    <definedName name="SCG_Lignin_fraction">Assumptions!$C$16</definedName>
    <definedName name="SCG_throughput">Assumptions!$C$35</definedName>
    <definedName name="Silverskin_throughput">Assumptions!$C$36</definedName>
    <definedName name="TA">'Coffee Roasting Process (TAD)'!$B$30</definedName>
    <definedName name="TAB">'Coffee Roasting Process (TAD)'!$B$35</definedName>
    <definedName name="TB0">'Coffee Roasting Process (TAD)'!$B$29</definedName>
    <definedName name="TBF">'Coffee Roasting Process (TAD)'!$B$34</definedName>
    <definedName name="TCH">'Coffee Roasting Process (TAD)'!$B$32</definedName>
    <definedName name="TF">'Coffee Roasting Process (TAD)'!$B$36</definedName>
    <definedName name="TM">'Coffee Roasting Process (TAD)'!$B$31</definedName>
    <definedName name="Total_crm_ionosolv">Assumptions!$C$56</definedName>
    <definedName name="Total_liquor_ionosolv">Assumptions!$C$73</definedName>
    <definedName name="TPE">'Coffee Roasting Process (TAD)'!$B$33</definedName>
    <definedName name="X0">'Coffee Roasting Process (TAD)'!$B$25</definedName>
    <definedName name="YBF">'Coffee Roasting Process (TAD)'!$B$34</definedName>
    <definedName name="ΔHvap">'Coffee Roasting Process (TAD)'!$B$40</definedName>
    <definedName name="ρEtOH">'Ionosolv (TAD)'!$B$26</definedName>
    <definedName name="ρTEA">'Ionosolv (TAD)'!$B$36</definedName>
    <definedName name="ρWater">'Ionosolv (TAD)'!$B$30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4" i="17" l="1"/>
  <c r="F123" i="17"/>
  <c r="B55" i="13"/>
  <c r="H13" i="13" l="1"/>
  <c r="H12" i="13"/>
  <c r="C35" i="2"/>
  <c r="C66" i="16"/>
  <c r="C65" i="16"/>
  <c r="C33" i="17"/>
  <c r="B19" i="14"/>
  <c r="B20" i="14" s="1"/>
  <c r="B15" i="14"/>
  <c r="C52" i="16" l="1"/>
  <c r="C4" i="9" l="1"/>
  <c r="C57" i="16" l="1"/>
  <c r="C58" i="16" l="1"/>
  <c r="C14" i="17" l="1"/>
  <c r="C118" i="17" l="1"/>
  <c r="F45" i="16" l="1"/>
  <c r="J43" i="16"/>
  <c r="F43" i="16"/>
  <c r="C100" i="16" l="1"/>
  <c r="C68" i="16"/>
  <c r="C67" i="16"/>
  <c r="C54" i="16"/>
  <c r="C51" i="16"/>
  <c r="C9" i="16"/>
  <c r="C10" i="16" l="1"/>
  <c r="C36" i="16"/>
  <c r="C72" i="17"/>
  <c r="C38" i="16"/>
  <c r="C95" i="16" s="1"/>
  <c r="C37" i="16"/>
  <c r="C94" i="16" s="1"/>
  <c r="H8" i="13"/>
  <c r="C32" i="2"/>
  <c r="K8" i="13" l="1"/>
  <c r="C52" i="17"/>
  <c r="C53" i="17" s="1"/>
  <c r="C55" i="17" s="1"/>
  <c r="J62" i="13"/>
  <c r="F58" i="13"/>
  <c r="B54" i="13"/>
  <c r="B35" i="14" l="1"/>
  <c r="B16" i="14" s="1"/>
  <c r="D10" i="13"/>
  <c r="B26" i="14" s="1"/>
  <c r="B29" i="14" l="1"/>
  <c r="B21" i="13"/>
  <c r="B24" i="14" s="1"/>
  <c r="B7" i="14" s="1"/>
  <c r="C36" i="13" s="1"/>
  <c r="D21" i="13"/>
  <c r="B34" i="14" s="1"/>
  <c r="B33" i="14" s="1"/>
  <c r="B14" i="14" s="1"/>
  <c r="F65" i="15"/>
  <c r="E65" i="15"/>
  <c r="E63" i="15"/>
  <c r="D63" i="15"/>
  <c r="F63" i="15" s="1"/>
  <c r="E62" i="15"/>
  <c r="D62" i="15"/>
  <c r="F62" i="15" s="1"/>
  <c r="E61" i="15"/>
  <c r="D61" i="15"/>
  <c r="F61" i="15" s="1"/>
  <c r="E60" i="15"/>
  <c r="D60" i="15"/>
  <c r="F60" i="15" s="1"/>
  <c r="C46" i="15"/>
  <c r="B46" i="15"/>
  <c r="C45" i="15"/>
  <c r="B45" i="15"/>
  <c r="C44" i="15"/>
  <c r="B44" i="15"/>
  <c r="C43" i="15"/>
  <c r="B43" i="15"/>
  <c r="E42" i="15"/>
  <c r="C42" i="15"/>
  <c r="B42" i="15"/>
  <c r="C41" i="15"/>
  <c r="B41" i="15"/>
  <c r="C40" i="15"/>
  <c r="B40" i="15"/>
  <c r="F18" i="15"/>
  <c r="F9" i="15"/>
  <c r="F5" i="15"/>
  <c r="B5" i="15"/>
  <c r="F4" i="15"/>
  <c r="B13" i="14"/>
  <c r="B12" i="14"/>
  <c r="B11" i="14"/>
  <c r="D51" i="13"/>
  <c r="C72" i="16" l="1"/>
  <c r="B3" i="14"/>
  <c r="E3" i="14" s="1"/>
  <c r="D55" i="13" s="1"/>
  <c r="F59" i="13" s="1"/>
  <c r="F60" i="13" s="1"/>
  <c r="B5" i="14"/>
  <c r="D5" i="14" s="1"/>
  <c r="B10" i="14"/>
  <c r="C3" i="14"/>
  <c r="C59" i="2"/>
  <c r="J63" i="13" l="1"/>
  <c r="L60" i="13" s="1"/>
  <c r="D3" i="14"/>
  <c r="F3" i="14" s="1"/>
  <c r="F17" i="13" s="1"/>
  <c r="E5" i="14"/>
  <c r="B6" i="15" s="1"/>
  <c r="D6" i="15" s="1"/>
  <c r="F6" i="15" s="1"/>
  <c r="B4" i="15"/>
  <c r="B10" i="15" s="1"/>
  <c r="D10" i="15" s="1"/>
  <c r="F10" i="15" s="1"/>
  <c r="D22" i="13"/>
  <c r="H7" i="13" s="1"/>
  <c r="B6" i="14"/>
  <c r="C37" i="13" s="1"/>
  <c r="H37" i="13" s="1"/>
  <c r="B17" i="14"/>
  <c r="F17" i="14" s="1"/>
  <c r="P53" i="13" l="1"/>
  <c r="H53" i="13"/>
  <c r="B15" i="15"/>
  <c r="D15" i="15" s="1"/>
  <c r="F15" i="15" s="1"/>
  <c r="B8" i="15"/>
  <c r="D8" i="15" s="1"/>
  <c r="F8" i="15" s="1"/>
  <c r="B13" i="15"/>
  <c r="D13" i="15" s="1"/>
  <c r="F13" i="15" s="1"/>
  <c r="B12" i="15"/>
  <c r="D12" i="15" s="1"/>
  <c r="B14" i="15"/>
  <c r="C10" i="15"/>
  <c r="B9" i="15"/>
  <c r="C9" i="15" s="1"/>
  <c r="B16" i="15"/>
  <c r="D54" i="13"/>
  <c r="B11" i="15"/>
  <c r="D11" i="15" s="1"/>
  <c r="B7" i="15"/>
  <c r="B18" i="14"/>
  <c r="F12" i="15" l="1"/>
  <c r="AB58" i="13"/>
  <c r="AF58" i="13" s="1"/>
  <c r="C21" i="16" s="1"/>
  <c r="C32" i="16" s="1"/>
  <c r="C90" i="16" s="1"/>
  <c r="C13" i="15"/>
  <c r="R53" i="13"/>
  <c r="T53" i="13" s="1"/>
  <c r="X53" i="13" s="1"/>
  <c r="R54" i="13"/>
  <c r="D52" i="13"/>
  <c r="C14" i="16" s="1"/>
  <c r="C15" i="16" s="1"/>
  <c r="C16" i="16" s="1"/>
  <c r="C17" i="16" s="1"/>
  <c r="C63" i="16" s="1"/>
  <c r="C15" i="15"/>
  <c r="C12" i="15"/>
  <c r="C14" i="15"/>
  <c r="D14" i="15"/>
  <c r="F14" i="15" s="1"/>
  <c r="E14" i="15"/>
  <c r="E16" i="15"/>
  <c r="C16" i="15"/>
  <c r="D16" i="15"/>
  <c r="F16" i="15" s="1"/>
  <c r="C11" i="15"/>
  <c r="F11" i="15"/>
  <c r="D7" i="15"/>
  <c r="F7" i="15" s="1"/>
  <c r="D53" i="13"/>
  <c r="H52" i="13" s="1"/>
  <c r="P55" i="13" s="1"/>
  <c r="T55" i="13" s="1"/>
  <c r="B17" i="15"/>
  <c r="O39" i="13"/>
  <c r="C22" i="16" s="1"/>
  <c r="C33" i="16" s="1"/>
  <c r="C91" i="16" s="1"/>
  <c r="D59" i="13" l="1"/>
  <c r="H38" i="13"/>
  <c r="H9" i="13" s="1"/>
  <c r="C34" i="17"/>
  <c r="C35" i="17" s="1"/>
  <c r="C17" i="15"/>
  <c r="D17" i="15"/>
  <c r="F17" i="15" s="1"/>
  <c r="H59" i="13"/>
  <c r="E17" i="15"/>
  <c r="H55" i="13"/>
  <c r="C33" i="2" l="1"/>
  <c r="C34" i="2" s="1"/>
  <c r="C23" i="17" l="1"/>
  <c r="C25" i="17" s="1"/>
  <c r="C24" i="17"/>
  <c r="C36" i="2"/>
  <c r="C5" i="16" s="1"/>
  <c r="C11" i="16" s="1"/>
  <c r="C31" i="17" l="1"/>
  <c r="F35" i="17" s="1"/>
  <c r="C26" i="17"/>
  <c r="D50" i="13"/>
  <c r="P39" i="13"/>
  <c r="C23" i="16" s="1"/>
  <c r="C34" i="16" s="1"/>
  <c r="C92" i="16" s="1"/>
  <c r="C37" i="2"/>
  <c r="C7" i="17" l="1"/>
  <c r="C77" i="17"/>
  <c r="H54" i="13"/>
  <c r="P54" i="13" s="1"/>
  <c r="C11" i="17" l="1"/>
  <c r="V54" i="13"/>
  <c r="X55" i="13" s="1"/>
  <c r="T54" i="13"/>
  <c r="X54" i="13" s="1"/>
  <c r="P47" i="13" l="1"/>
  <c r="H47" i="13" s="1"/>
  <c r="F44" i="13" s="1"/>
  <c r="AB59" i="13"/>
  <c r="P48" i="13" s="1"/>
  <c r="H48" i="13" l="1"/>
  <c r="J53" i="13" s="1"/>
  <c r="N47" i="13" s="1"/>
  <c r="AD61" i="13"/>
  <c r="AD56" i="13"/>
  <c r="C63" i="2"/>
  <c r="C62" i="2"/>
  <c r="C61" i="2"/>
  <c r="C60" i="2"/>
  <c r="N24" i="6"/>
  <c r="N23" i="6"/>
  <c r="N22" i="6"/>
  <c r="N21" i="6"/>
  <c r="N20" i="6"/>
  <c r="N19" i="6"/>
  <c r="N18" i="6"/>
  <c r="N17" i="6"/>
  <c r="N16" i="6"/>
  <c r="N15" i="6"/>
  <c r="N14" i="6"/>
  <c r="N13" i="6"/>
  <c r="N12" i="6"/>
  <c r="N11" i="6"/>
  <c r="N10" i="6"/>
  <c r="N9" i="6"/>
  <c r="N8" i="6"/>
  <c r="L24" i="6"/>
  <c r="L23" i="6"/>
  <c r="L22" i="6"/>
  <c r="L21" i="6"/>
  <c r="L20" i="6"/>
  <c r="L19" i="6"/>
  <c r="C21" i="2" s="1"/>
  <c r="L18" i="6"/>
  <c r="L17" i="6"/>
  <c r="C22" i="2" s="1"/>
  <c r="L16" i="6"/>
  <c r="C18" i="2" s="1"/>
  <c r="L15" i="6"/>
  <c r="C17" i="2" s="1"/>
  <c r="L14" i="6"/>
  <c r="C16" i="2" s="1"/>
  <c r="L12" i="6"/>
  <c r="L11" i="6"/>
  <c r="L10" i="6"/>
  <c r="L9" i="6"/>
  <c r="C15" i="2" s="1"/>
  <c r="C51" i="2" s="1"/>
  <c r="L8" i="6"/>
  <c r="C14" i="2" s="1"/>
  <c r="C13" i="17" l="1"/>
  <c r="C79" i="17"/>
  <c r="C9" i="17"/>
  <c r="C78" i="17"/>
  <c r="C80" i="17" s="1"/>
  <c r="C81" i="17" s="1"/>
  <c r="C12" i="17"/>
  <c r="C17" i="17" s="1"/>
  <c r="C8" i="17"/>
  <c r="H10" i="13"/>
  <c r="C50" i="2"/>
  <c r="C67" i="2"/>
  <c r="C54" i="2"/>
  <c r="C52" i="2"/>
  <c r="C71" i="2"/>
  <c r="C68" i="2"/>
  <c r="C69" i="2"/>
  <c r="C82" i="17" l="1"/>
  <c r="C93" i="17"/>
  <c r="C94" i="17" s="1"/>
  <c r="C95" i="17" s="1"/>
  <c r="C96" i="17" s="1"/>
  <c r="C16" i="17"/>
  <c r="C18" i="17" s="1"/>
  <c r="C19" i="17" s="1"/>
  <c r="H64" i="13"/>
  <c r="C24" i="16" s="1"/>
  <c r="C35" i="16" s="1"/>
  <c r="C93" i="16" s="1"/>
  <c r="C56" i="2"/>
  <c r="C73" i="2"/>
  <c r="C20" i="17" l="1"/>
  <c r="C28" i="17" s="1"/>
  <c r="C32" i="17"/>
  <c r="C92" i="17"/>
  <c r="C85" i="17"/>
  <c r="C87" i="17" s="1"/>
  <c r="N60" i="13"/>
  <c r="R60" i="13" s="1"/>
  <c r="R63" i="13" s="1"/>
  <c r="N56" i="13"/>
  <c r="P56" i="13" s="1"/>
  <c r="T56" i="13" s="1"/>
  <c r="C38" i="17" l="1"/>
  <c r="C36" i="17"/>
  <c r="X56" i="13"/>
  <c r="X60" i="13" s="1"/>
  <c r="R69" i="13"/>
  <c r="R66" i="13"/>
  <c r="Z62" i="13"/>
  <c r="Z65" i="13"/>
  <c r="Z68" i="13"/>
  <c r="P49" i="13" s="1"/>
  <c r="C42" i="17" l="1"/>
  <c r="C44" i="17" s="1"/>
  <c r="C71" i="16"/>
  <c r="C37" i="17"/>
  <c r="S69" i="13"/>
  <c r="C20" i="16" s="1"/>
  <c r="C31" i="16" s="1"/>
  <c r="C89" i="16" s="1"/>
  <c r="C28" i="16"/>
  <c r="C39" i="16" s="1"/>
  <c r="C96" i="16" s="1"/>
  <c r="H11" i="13"/>
  <c r="C100" i="17"/>
  <c r="M39" i="13"/>
  <c r="C60" i="17" l="1"/>
  <c r="C97" i="17" s="1"/>
  <c r="C39" i="17"/>
  <c r="C104" i="17"/>
  <c r="C105" i="17" s="1"/>
  <c r="C106" i="17" s="1"/>
  <c r="C102" i="17"/>
  <c r="C58" i="17"/>
  <c r="C61" i="17" s="1"/>
  <c r="C47" i="17"/>
  <c r="C98" i="16"/>
  <c r="C80" i="2"/>
  <c r="C81" i="2" s="1"/>
  <c r="C40" i="17" l="1"/>
  <c r="C41" i="17"/>
  <c r="C48" i="17"/>
  <c r="C49" i="17" s="1"/>
  <c r="C70" i="16" s="1"/>
  <c r="C74" i="16" s="1"/>
  <c r="E6" i="9" s="1"/>
  <c r="E8" i="9" s="1"/>
  <c r="C64" i="17"/>
  <c r="C65" i="17" s="1"/>
  <c r="C66" i="17" s="1"/>
  <c r="C107" i="17"/>
  <c r="C108" i="17"/>
  <c r="C59" i="17"/>
  <c r="C101" i="17" s="1"/>
  <c r="C103" i="17" s="1"/>
  <c r="D10" i="9"/>
  <c r="D12" i="9" s="1"/>
  <c r="H10" i="9"/>
  <c r="L10" i="9"/>
  <c r="L12" i="9" s="1"/>
  <c r="I10" i="9"/>
  <c r="C10" i="9"/>
  <c r="C12" i="9" s="1"/>
  <c r="J10" i="9"/>
  <c r="J12" i="9" s="1"/>
  <c r="K10" i="9"/>
  <c r="K12" i="9" s="1"/>
  <c r="E10" i="9"/>
  <c r="E12" i="9" s="1"/>
  <c r="F10" i="9"/>
  <c r="F12" i="9" s="1"/>
  <c r="G10" i="9"/>
  <c r="G12" i="9" s="1"/>
  <c r="C69" i="17"/>
  <c r="H12" i="9"/>
  <c r="G6" i="9" l="1"/>
  <c r="G8" i="9" s="1"/>
  <c r="G14" i="9" s="1"/>
  <c r="D6" i="9"/>
  <c r="D8" i="9" s="1"/>
  <c r="D14" i="9" s="1"/>
  <c r="J6" i="9"/>
  <c r="J8" i="9" s="1"/>
  <c r="J14" i="9" s="1"/>
  <c r="F6" i="9"/>
  <c r="F8" i="9" s="1"/>
  <c r="F14" i="9" s="1"/>
  <c r="K6" i="9"/>
  <c r="K8" i="9" s="1"/>
  <c r="K14" i="9" s="1"/>
  <c r="L6" i="9"/>
  <c r="L8" i="9" s="1"/>
  <c r="L14" i="9" s="1"/>
  <c r="H6" i="9"/>
  <c r="H8" i="9" s="1"/>
  <c r="H14" i="9" s="1"/>
  <c r="I6" i="9"/>
  <c r="I8" i="9" s="1"/>
  <c r="C6" i="9"/>
  <c r="C8" i="9" s="1"/>
  <c r="C14" i="9" s="1"/>
  <c r="C16" i="9" s="1"/>
  <c r="C86" i="17"/>
  <c r="C88" i="17" s="1"/>
  <c r="C89" i="17" s="1"/>
  <c r="F59" i="17"/>
  <c r="C70" i="17"/>
  <c r="I12" i="9"/>
  <c r="E14" i="9"/>
  <c r="C119" i="17" l="1"/>
  <c r="I14" i="9"/>
  <c r="C22" i="9" s="1"/>
  <c r="C18" i="9"/>
  <c r="C21" i="9"/>
  <c r="D16" i="9"/>
  <c r="E16" i="9" s="1"/>
  <c r="F16" i="9" s="1"/>
  <c r="G16" i="9" s="1"/>
  <c r="H16" i="9" s="1"/>
  <c r="C19" i="9" l="1"/>
  <c r="I16" i="9"/>
  <c r="J16" i="9" s="1"/>
  <c r="K16" i="9" s="1"/>
  <c r="L1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 Sheppard</author>
    <author>Phil</author>
    <author>Athanasios Angelis-Dimakis</author>
  </authors>
  <commentList>
    <comment ref="O39" authorId="0" shapeId="0" xr:uid="{00000000-0006-0000-0800-000001000000}">
      <text>
        <r>
          <rPr>
            <b/>
            <sz val="9"/>
            <color indexed="81"/>
            <rFont val="Tahoma"/>
            <family val="2"/>
          </rPr>
          <t>Phil Sheppard:</t>
        </r>
        <r>
          <rPr>
            <sz val="9"/>
            <color indexed="81"/>
            <rFont val="Tahoma"/>
            <family val="2"/>
          </rPr>
          <t xml:space="preserve">
Don't know whether extraction of CMC would reduce this amount.</t>
        </r>
      </text>
    </comment>
    <comment ref="P39" authorId="0" shapeId="0" xr:uid="{00000000-0006-0000-0800-000002000000}">
      <text>
        <r>
          <rPr>
            <b/>
            <sz val="9"/>
            <color indexed="81"/>
            <rFont val="Tahoma"/>
            <family val="2"/>
          </rPr>
          <t>Phil Sheppard:</t>
        </r>
        <r>
          <rPr>
            <sz val="9"/>
            <color indexed="81"/>
            <rFont val="Tahoma"/>
            <family val="2"/>
          </rPr>
          <t xml:space="preserve">
Don't know whether extraction of CMC would reduce this amount.</t>
        </r>
      </text>
    </comment>
    <comment ref="N47" authorId="0" shapeId="0" xr:uid="{00000000-0006-0000-0800-000003000000}">
      <text>
        <r>
          <rPr>
            <b/>
            <sz val="9"/>
            <color indexed="81"/>
            <rFont val="Tahoma"/>
            <family val="2"/>
          </rPr>
          <t>Phil Sheppard:</t>
        </r>
        <r>
          <rPr>
            <sz val="9"/>
            <color indexed="81"/>
            <rFont val="Tahoma"/>
            <family val="2"/>
          </rPr>
          <t xml:space="preserve">
Only sensible heat required because membrane distillation used.</t>
        </r>
      </text>
    </comment>
    <comment ref="D50" authorId="1" shapeId="0" xr:uid="{B964A2E9-F1F4-4458-A0A9-6E80B958E64B}">
      <text>
        <r>
          <rPr>
            <b/>
            <sz val="9"/>
            <color indexed="81"/>
            <rFont val="Tahoma"/>
            <family val="2"/>
          </rPr>
          <t>Phil:</t>
        </r>
        <r>
          <rPr>
            <sz val="9"/>
            <color indexed="81"/>
            <rFont val="Tahoma"/>
            <family val="2"/>
          </rPr>
          <t xml:space="preserve">
First of the 4 cycles per day only; the other 3 would each be 10% of this, as the heat would be retained and therefore recycled.</t>
        </r>
      </text>
    </comment>
    <comment ref="R55" authorId="1" shapeId="0" xr:uid="{9BB73B6C-8618-4D6C-89B7-C4F67BB5CE5A}">
      <text>
        <r>
          <rPr>
            <b/>
            <sz val="9"/>
            <color indexed="81"/>
            <rFont val="Tahoma"/>
            <family val="2"/>
          </rPr>
          <t>Phil:</t>
        </r>
        <r>
          <rPr>
            <sz val="9"/>
            <color indexed="81"/>
            <rFont val="Tahoma"/>
            <family val="2"/>
          </rPr>
          <t xml:space="preserve">
Bypassed</t>
        </r>
      </text>
    </comment>
    <comment ref="AD57" authorId="0" shapeId="0" xr:uid="{00000000-0006-0000-0800-000005000000}">
      <text>
        <r>
          <rPr>
            <b/>
            <sz val="9"/>
            <color indexed="81"/>
            <rFont val="Tahoma"/>
            <family val="2"/>
          </rPr>
          <t>Phil Sheppard:</t>
        </r>
        <r>
          <rPr>
            <sz val="9"/>
            <color indexed="81"/>
            <rFont val="Tahoma"/>
            <family val="2"/>
          </rPr>
          <t xml:space="preserve">
Vacuum oven would be more efficient.</t>
        </r>
      </text>
    </comment>
    <comment ref="D59" authorId="2" shapeId="0" xr:uid="{00000000-0006-0000-0800-000006000000}">
      <text>
        <r>
          <rPr>
            <b/>
            <sz val="9"/>
            <color indexed="81"/>
            <rFont val="Tahoma"/>
            <family val="2"/>
          </rPr>
          <t>Athanasios Angelis-Dimakis:</t>
        </r>
        <r>
          <rPr>
            <sz val="9"/>
            <color indexed="81"/>
            <rFont val="Tahoma"/>
            <family val="2"/>
          </rPr>
          <t xml:space="preserve">
0.6 Pump Overall Efficiency
10^6 to convert to MJ
150 is the total line in the refinery in m, so this calc applies to all other pumping in the facility.</t>
        </r>
      </text>
    </comment>
    <comment ref="X60" authorId="1" shapeId="0" xr:uid="{00000000-0006-0000-0800-000007000000}">
      <text>
        <r>
          <rPr>
            <b/>
            <sz val="9"/>
            <color indexed="81"/>
            <rFont val="Tahoma"/>
            <family val="2"/>
          </rPr>
          <t>Phil:</t>
        </r>
        <r>
          <rPr>
            <sz val="9"/>
            <color indexed="81"/>
            <rFont val="Tahoma"/>
            <family val="2"/>
          </rPr>
          <t xml:space="preserve">
The 10m in the formula is the distance covered inside the facility in meters</t>
        </r>
      </text>
    </comment>
    <comment ref="H64" authorId="0" shapeId="0" xr:uid="{00000000-0006-0000-0800-000008000000}">
      <text>
        <r>
          <rPr>
            <sz val="9"/>
            <color indexed="81"/>
            <rFont val="Tahoma"/>
            <family val="2"/>
          </rPr>
          <t>This would be lower but no-one has published a yield figure for TEAS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 Sheppard</author>
    <author>Phil</author>
  </authors>
  <commentList>
    <comment ref="Q2" authorId="0" shapeId="0" xr:uid="{00000000-0006-0000-0D00-000001000000}">
      <text>
        <r>
          <rPr>
            <b/>
            <sz val="9"/>
            <color indexed="81"/>
            <rFont val="Tahoma"/>
            <family val="2"/>
          </rPr>
          <t>Phil Sheppard:</t>
        </r>
        <r>
          <rPr>
            <sz val="9"/>
            <color indexed="81"/>
            <rFont val="Tahoma"/>
            <family val="2"/>
          </rPr>
          <t xml:space="preserve">
This needs to be put into one of the Assumptions sheets.  Also check that all of it really is useable</t>
        </r>
      </text>
    </comment>
    <comment ref="C4" authorId="1" shapeId="0" xr:uid="{C13E3060-B62D-489F-8A6D-3A493702B5E2}">
      <text>
        <r>
          <rPr>
            <b/>
            <sz val="9"/>
            <color indexed="81"/>
            <rFont val="Tahoma"/>
            <family val="2"/>
          </rPr>
          <t>Phil:</t>
        </r>
        <r>
          <rPr>
            <sz val="9"/>
            <color indexed="81"/>
            <rFont val="Tahoma"/>
            <family val="2"/>
          </rPr>
          <t xml:space="preserve">
See section 5.3.2 for explanation of this formula.</t>
        </r>
      </text>
    </comment>
  </commentList>
</comments>
</file>

<file path=xl/sharedStrings.xml><?xml version="1.0" encoding="utf-8"?>
<sst xmlns="http://schemas.openxmlformats.org/spreadsheetml/2006/main" count="949" uniqueCount="550">
  <si>
    <t>Roasting Drum</t>
  </si>
  <si>
    <t>Cooling Chamber</t>
  </si>
  <si>
    <t>Afterburner</t>
  </si>
  <si>
    <t>Stack</t>
  </si>
  <si>
    <t>Gravity</t>
  </si>
  <si>
    <t>= Process step</t>
  </si>
  <si>
    <t>=Time (minutes)</t>
  </si>
  <si>
    <t>Value</t>
  </si>
  <si>
    <t>Unit</t>
  </si>
  <si>
    <t>= Mass (kg/hr)</t>
  </si>
  <si>
    <t>Water</t>
  </si>
  <si>
    <t>#</t>
  </si>
  <si>
    <t>MJ</t>
  </si>
  <si>
    <t>Components</t>
  </si>
  <si>
    <t>Rating</t>
  </si>
  <si>
    <t>kW</t>
  </si>
  <si>
    <t>Time on</t>
  </si>
  <si>
    <t>min/hr</t>
  </si>
  <si>
    <t>MJ/kWh</t>
  </si>
  <si>
    <t>Enthalpy/hr</t>
  </si>
  <si>
    <t>Air density</t>
  </si>
  <si>
    <t>kg/m3</t>
  </si>
  <si>
    <t>Engineering Toolbox</t>
  </si>
  <si>
    <t>Engineering Toolbox, 20C</t>
  </si>
  <si>
    <t>Fan to cyclone</t>
  </si>
  <si>
    <t>Cooling air fan</t>
  </si>
  <si>
    <t>Air flow rate</t>
  </si>
  <si>
    <t>Nm3/hr</t>
  </si>
  <si>
    <t>Nominal figure from the exhaust flow rates in the paper</t>
  </si>
  <si>
    <t>Factors</t>
  </si>
  <si>
    <t>Process</t>
  </si>
  <si>
    <t>Flow rate</t>
  </si>
  <si>
    <t>Temperature</t>
  </si>
  <si>
    <t>C</t>
  </si>
  <si>
    <t>Between 300 &amp; 350 C</t>
  </si>
  <si>
    <t>kJ/(kg K)</t>
  </si>
  <si>
    <t>Cp air @ 300C</t>
  </si>
  <si>
    <t>Fresh Air</t>
  </si>
  <si>
    <t>Exhaust Air</t>
  </si>
  <si>
    <t>Chiller</t>
  </si>
  <si>
    <t>Hopper (SCG)</t>
  </si>
  <si>
    <t>Enthalpy/cycle (roasting)</t>
  </si>
  <si>
    <t>kJ/kg K</t>
  </si>
  <si>
    <t>Cp water @ 105C</t>
  </si>
  <si>
    <t>Hemicellulose</t>
  </si>
  <si>
    <t>Lignin</t>
  </si>
  <si>
    <t>= Input, output or agent</t>
  </si>
  <si>
    <t>Cp water @ 120C</t>
  </si>
  <si>
    <t>Liquor</t>
  </si>
  <si>
    <t>Residue (CRM)</t>
  </si>
  <si>
    <t>SCG Cellulose fraction</t>
  </si>
  <si>
    <t>%</t>
  </si>
  <si>
    <t>SCG Hemicellulose fraction</t>
  </si>
  <si>
    <t>SCG Lignin fraction</t>
  </si>
  <si>
    <t>Insoluble</t>
  </si>
  <si>
    <t>Soluble</t>
  </si>
  <si>
    <t>Ionosolv</t>
  </si>
  <si>
    <t>H</t>
  </si>
  <si>
    <t>L</t>
  </si>
  <si>
    <t>Wash CRM</t>
  </si>
  <si>
    <t>Filtrate</t>
  </si>
  <si>
    <t>CRM</t>
  </si>
  <si>
    <t>Collected grounds initial moisture (wt %):  50-60</t>
  </si>
  <si>
    <t>Table 1: Chemical composition of spent coffee grounds and coffee silverskin</t>
  </si>
  <si>
    <t>Property</t>
  </si>
  <si>
    <t>Spent coffee grounds</t>
  </si>
  <si>
    <t>Defatted coffee grounds</t>
  </si>
  <si>
    <t>Chemical components</t>
  </si>
  <si>
    <t>Composition (g/100 g dry material)</t>
  </si>
  <si>
    <t>Nutritional analysis</t>
  </si>
  <si>
    <t>SCG</t>
  </si>
  <si>
    <t>Coffee silverskin</t>
  </si>
  <si>
    <t>crude protein</t>
  </si>
  <si>
    <t>Cellulose (Glucose)</t>
  </si>
  <si>
    <t>12.40±0.79</t>
  </si>
  <si>
    <t>23.77±0.09</t>
  </si>
  <si>
    <t>crude lipid</t>
  </si>
  <si>
    <t>39.10±1.94</t>
  </si>
  <si>
    <t>16.68±1.30</t>
  </si>
  <si>
    <t>Neutral Detergent Fibre (NDF) - hemicellulose, cellulose &amp; lignin</t>
  </si>
  <si>
    <t>Arabinose</t>
  </si>
  <si>
    <t>3.60±0.52</t>
  </si>
  <si>
    <t>3.54±0.29</t>
  </si>
  <si>
    <t>Acid Detergent Fibre (ADF) - cellulose &amp; lignin</t>
  </si>
  <si>
    <t>Mannose</t>
  </si>
  <si>
    <t>19.07±0.85</t>
  </si>
  <si>
    <t>1.77±0.06</t>
  </si>
  <si>
    <t>ash</t>
  </si>
  <si>
    <t>1.8 (0.17)</t>
  </si>
  <si>
    <t>2.4 (0.12)</t>
  </si>
  <si>
    <t>Galactose</t>
  </si>
  <si>
    <t>16.43±1.66</t>
  </si>
  <si>
    <t>3.76±1.27</t>
  </si>
  <si>
    <t>Xylose</t>
  </si>
  <si>
    <t>nd</t>
  </si>
  <si>
    <t>7.61±0.02</t>
  </si>
  <si>
    <t>−</t>
  </si>
  <si>
    <t>23.90±1.70</t>
  </si>
  <si>
    <t>28.58±0.46</t>
  </si>
  <si>
    <t>17.59±1.56</t>
  </si>
  <si>
    <t>20.97±0.43</t>
  </si>
  <si>
    <t>6.31±0.37</t>
  </si>
  <si>
    <t>7.61±0.16</t>
  </si>
  <si>
    <t>Fat</t>
  </si>
  <si>
    <t>2.29±0.30</t>
  </si>
  <si>
    <t>3.78±0.40</t>
  </si>
  <si>
    <t>Ashes</t>
  </si>
  <si>
    <t>1.30±0.10</t>
  </si>
  <si>
    <t>5.36±0.20</t>
  </si>
  <si>
    <t>Protein</t>
  </si>
  <si>
    <t>17.44±0.10</t>
  </si>
  <si>
    <t>18.69±0.10</t>
  </si>
  <si>
    <t>Nitrogen</t>
  </si>
  <si>
    <t>2.79±0.10</t>
  </si>
  <si>
    <t>2.99±0.10</t>
  </si>
  <si>
    <t>Carbon/nitrogen (C/N ratio)</t>
  </si>
  <si>
    <t>16.91±0.10</t>
  </si>
  <si>
    <t>14.41±0.10</t>
  </si>
  <si>
    <t>elemental</t>
  </si>
  <si>
    <t>analysis</t>
  </si>
  <si>
    <t>Total dietary fiber</t>
  </si>
  <si>
    <t>60.46±2.19</t>
  </si>
  <si>
    <t>54.11±0.10</t>
  </si>
  <si>
    <t>50.78±1.58</t>
  </si>
  <si>
    <t>45.98±0.18</t>
  </si>
  <si>
    <t>9.68±2.70</t>
  </si>
  <si>
    <t>8.16±0.90</t>
  </si>
  <si>
    <t>N</t>
  </si>
  <si>
    <t>O</t>
  </si>
  <si>
    <t>Results are expressed as mean±standard deviation; n=3. nd not detected</t>
  </si>
  <si>
    <t>S</t>
  </si>
  <si>
    <t>P</t>
  </si>
  <si>
    <t>Source:  Ballesteros et al (2014)</t>
  </si>
  <si>
    <t>HHV (MJ/kg)</t>
  </si>
  <si>
    <t>Materials</t>
  </si>
  <si>
    <t>Heat</t>
  </si>
  <si>
    <t>kg/hr</t>
  </si>
  <si>
    <t>Enzymatic saccharification</t>
  </si>
  <si>
    <t>Solvation</t>
  </si>
  <si>
    <t>= Hemicellulose</t>
  </si>
  <si>
    <t>=Lignin</t>
  </si>
  <si>
    <t>= Carbohydrate-Rich Material</t>
  </si>
  <si>
    <t>Cool air</t>
  </si>
  <si>
    <t>Stack (no heat recovery)</t>
  </si>
  <si>
    <t>Roasted beans</t>
  </si>
  <si>
    <t>Distillation</t>
  </si>
  <si>
    <t>Furfural</t>
  </si>
  <si>
    <t>Acetic acid</t>
  </si>
  <si>
    <t>Brandt-Talbot 2017 Table S11</t>
  </si>
  <si>
    <t>Source: WO2104140643A1 and Brandt-Talbot et al (2017)</t>
  </si>
  <si>
    <t>Costs</t>
  </si>
  <si>
    <t>Capital</t>
  </si>
  <si>
    <t>Operating</t>
  </si>
  <si>
    <t>System</t>
  </si>
  <si>
    <t>IL solvent</t>
  </si>
  <si>
    <t>$</t>
  </si>
  <si>
    <t>$/kg</t>
  </si>
  <si>
    <t>tonnes/yr</t>
  </si>
  <si>
    <t>IL recycling rate</t>
  </si>
  <si>
    <t>Tonnes SCG per cycle</t>
  </si>
  <si>
    <t>tonne</t>
  </si>
  <si>
    <t>Hours per cycle</t>
  </si>
  <si>
    <t>Hours per day</t>
  </si>
  <si>
    <t>Days per year</t>
  </si>
  <si>
    <t>Hours per year</t>
  </si>
  <si>
    <t>Cycles per year</t>
  </si>
  <si>
    <t>Tonnes processed per year</t>
  </si>
  <si>
    <t>IL life</t>
  </si>
  <si>
    <t>cycles</t>
  </si>
  <si>
    <t>per tonne</t>
  </si>
  <si>
    <t>per kg</t>
  </si>
  <si>
    <t>$/tonne</t>
  </si>
  <si>
    <t>per tonne with recycling</t>
  </si>
  <si>
    <t>Revenues</t>
  </si>
  <si>
    <t>Unit prices</t>
  </si>
  <si>
    <t>Cellulose pulp</t>
  </si>
  <si>
    <t xml:space="preserve">Acetic acid </t>
  </si>
  <si>
    <t>Proteins</t>
  </si>
  <si>
    <t>Fats</t>
  </si>
  <si>
    <t>Ash</t>
  </si>
  <si>
    <t>fatty acid profile</t>
  </si>
  <si>
    <t>Ethanol</t>
  </si>
  <si>
    <t>Brandt-Talbot (2017) - Supplementary Info, Table S1</t>
  </si>
  <si>
    <t>Measured</t>
  </si>
  <si>
    <t>Rounded (%)</t>
  </si>
  <si>
    <t>These from Ballesteros et al (2014) - see SCG composition sheet</t>
  </si>
  <si>
    <t>Yields in pulp (CRM) after solvation step (IL treatment)</t>
  </si>
  <si>
    <t>Amounts in pulp (CRM) after solvation step (IL treatment)</t>
  </si>
  <si>
    <t>Roasting cycles/hr</t>
  </si>
  <si>
    <t>Silverskin throughput</t>
  </si>
  <si>
    <t>Vasantha et al (2014) - Table 1</t>
  </si>
  <si>
    <t>Total</t>
  </si>
  <si>
    <t>Amounts in liquor after solvation step (IL treatment)</t>
  </si>
  <si>
    <t>Includes degradation products of these substances</t>
  </si>
  <si>
    <t>Yields in liquor after solvation step (IL treatment)</t>
  </si>
  <si>
    <t>% water:solids for lignin precipitation</t>
  </si>
  <si>
    <t>L yield in precipitation step</t>
  </si>
  <si>
    <t>Patent WO2014/140643, Table 2, p18</t>
  </si>
  <si>
    <t>% total lignin in untreated biomass</t>
  </si>
  <si>
    <t>Patent WO2014/140643, p17, line 1</t>
  </si>
  <si>
    <t>NaOH</t>
  </si>
  <si>
    <t>Monochloracetic acid</t>
  </si>
  <si>
    <t>CMC</t>
  </si>
  <si>
    <t>= outputs</t>
  </si>
  <si>
    <t>CMC (food grade)</t>
  </si>
  <si>
    <t>Total revenues (per year)</t>
  </si>
  <si>
    <t>$/yr</t>
  </si>
  <si>
    <t>Coffee roasting income</t>
  </si>
  <si>
    <t>Process ethanol (food grade)</t>
  </si>
  <si>
    <t>95% of ethanol is recovered</t>
  </si>
  <si>
    <t>NaOH food grade</t>
  </si>
  <si>
    <t>Monochloracetic acid food grade</t>
  </si>
  <si>
    <t>Labour</t>
  </si>
  <si>
    <t>Totals</t>
  </si>
  <si>
    <t>Energy (electrical)</t>
  </si>
  <si>
    <t>Pera study</t>
  </si>
  <si>
    <t>$12/tonne (equiv)(various sources, particularly https://www.javapresse.com/blogs/brew-guides/how-much-pay-for-coffee-beans, 12 hours/day, 250 days/yr</t>
  </si>
  <si>
    <t>No source - of this order.  Would mean 4-5 people</t>
  </si>
  <si>
    <t>No source - of this order</t>
  </si>
  <si>
    <t>Other/overhead</t>
  </si>
  <si>
    <t>Volatiles</t>
  </si>
  <si>
    <t>Solids</t>
  </si>
  <si>
    <t>Unknown (small)</t>
  </si>
  <si>
    <t>Used Pera study process diagram for yield</t>
  </si>
  <si>
    <t>CMC yield</t>
  </si>
  <si>
    <t>Cellulose</t>
  </si>
  <si>
    <t>Silverskin</t>
  </si>
  <si>
    <t>Patent WO2014/140643, Table 2, p18 said 20.6% but Table S10 of Brandt-Talbot 2017 says 59.6% of lignin was precipitated (after 4 hours)</t>
  </si>
  <si>
    <t>Revenue</t>
  </si>
  <si>
    <t>Total Costs</t>
  </si>
  <si>
    <t>Total Revenue</t>
  </si>
  <si>
    <t>Net Income</t>
  </si>
  <si>
    <t>Cumulative Income</t>
  </si>
  <si>
    <t>Year</t>
  </si>
  <si>
    <t>All values US$</t>
  </si>
  <si>
    <t>"Ash [from biomass] is composed of various metal oxides, carbonates and possibly sulfates." Burnham (2010)</t>
  </si>
  <si>
    <r>
      <t>=temperature (</t>
    </r>
    <r>
      <rPr>
        <sz val="12"/>
        <color theme="1"/>
        <rFont val="Arial"/>
        <family val="2"/>
      </rPr>
      <t>°</t>
    </r>
    <r>
      <rPr>
        <sz val="12"/>
        <color theme="1"/>
        <rFont val="Calibri"/>
        <family val="2"/>
        <scheme val="minor"/>
      </rPr>
      <t>C)</t>
    </r>
  </si>
  <si>
    <t>Beans</t>
  </si>
  <si>
    <t>Hopper</t>
  </si>
  <si>
    <t>kJ/kg</t>
  </si>
  <si>
    <t>Coffee Roaster (per hour output)</t>
  </si>
  <si>
    <t>= Enthalpy (MJ (/hr)</t>
  </si>
  <si>
    <t>Sources:  Pantaleo et al (2017) and Schwartzberg (2011)</t>
  </si>
  <si>
    <t>$/MWh</t>
  </si>
  <si>
    <t>Silverskin throughput is 4.7% of the beans</t>
  </si>
  <si>
    <t>Coffee bean throughput per cycle</t>
  </si>
  <si>
    <t>tonnes</t>
  </si>
  <si>
    <t>Coffee bean cycles per hour</t>
  </si>
  <si>
    <t>Coffee bean hours per day</t>
  </si>
  <si>
    <t>Coffee bean days per year</t>
  </si>
  <si>
    <t>Coffee bean cycles per year</t>
  </si>
  <si>
    <t>Coffee bean throughput per year</t>
  </si>
  <si>
    <t>Saving</t>
  </si>
  <si>
    <t>Heat (net)</t>
  </si>
  <si>
    <t>Potential for charging a collection fee, which would be lower than that currently paid by the customer shops.  Reply to email of 8/1 awaited.</t>
  </si>
  <si>
    <t>See emails with Agi Brandt-Talbot in Phase 2 folder for the background to this figure</t>
  </si>
  <si>
    <t>Overhead</t>
  </si>
  <si>
    <t>SCG throughput per hour</t>
  </si>
  <si>
    <t>Cp (SCG)</t>
  </si>
  <si>
    <r>
      <t xml:space="preserve">Dupont et al (2013) - Table 1 for olive pomace.  Only goes up to 80C (353K) but   </t>
    </r>
    <r>
      <rPr>
        <i/>
        <sz val="12"/>
        <color theme="1"/>
        <rFont val="Calibri"/>
        <family val="2"/>
        <scheme val="minor"/>
      </rPr>
      <t>Emailed Charis Galanakis on 19/2 requesting a figure for SCG.</t>
    </r>
  </si>
  <si>
    <t>IL quantity per hour</t>
  </si>
  <si>
    <t>Brandt-Talbot (2017) - Supplementary Information (80% of IL/water mix)</t>
  </si>
  <si>
    <t>MJ/yr</t>
  </si>
  <si>
    <t>MWh/yr</t>
  </si>
  <si>
    <t>kWh/yr</t>
  </si>
  <si>
    <t>MJ/hr</t>
  </si>
  <si>
    <t>Mass Balance (in kg/hr)</t>
  </si>
  <si>
    <t>Component</t>
  </si>
  <si>
    <t>Inlet</t>
  </si>
  <si>
    <t>Chaff</t>
  </si>
  <si>
    <t>Waste</t>
  </si>
  <si>
    <t>Coffee Beans</t>
  </si>
  <si>
    <t>Silverskin approximately 3%-5% of the coffee bean.</t>
  </si>
  <si>
    <t>Water (Moisture)</t>
  </si>
  <si>
    <t>Fuel</t>
  </si>
  <si>
    <t>Air</t>
  </si>
  <si>
    <t>Energy Balance Calculations</t>
  </si>
  <si>
    <t>Energy Used from the Coffee Beans</t>
  </si>
  <si>
    <t>QB</t>
  </si>
  <si>
    <t>Energy Lost from the Chaff</t>
  </si>
  <si>
    <t>QC</t>
  </si>
  <si>
    <t>Energy for Moisture Vaporisation</t>
  </si>
  <si>
    <t>QX</t>
  </si>
  <si>
    <t>Leak Air Energy Rise</t>
  </si>
  <si>
    <t>QA</t>
  </si>
  <si>
    <t>Dry Matter to Gas and Vapor</t>
  </si>
  <si>
    <t>QPE</t>
  </si>
  <si>
    <t>Overall Enthalpy for the Roaster</t>
  </si>
  <si>
    <t>QSR</t>
  </si>
  <si>
    <t>Afterburner Enthalpy</t>
  </si>
  <si>
    <t>QADD</t>
  </si>
  <si>
    <t>Total Fuel Enthalpy Consumed</t>
  </si>
  <si>
    <t>QTOT</t>
  </si>
  <si>
    <t>Thermal Losses from Stack</t>
  </si>
  <si>
    <t>QG</t>
  </si>
  <si>
    <t>→ To Biorefinery</t>
  </si>
  <si>
    <t>Assumptions</t>
  </si>
  <si>
    <t>Dry Coffee Beans Supply</t>
  </si>
  <si>
    <t>RD</t>
  </si>
  <si>
    <t>Coffee Moisture Content</t>
  </si>
  <si>
    <t>X0</t>
  </si>
  <si>
    <t>Typical Value: 11.1%</t>
  </si>
  <si>
    <t>Air to Dry Coffee Ratio</t>
  </si>
  <si>
    <t>ARD</t>
  </si>
  <si>
    <t>Varying from 0.109 to 0.733</t>
  </si>
  <si>
    <t>Chaff Losses</t>
  </si>
  <si>
    <t>Typical Value for Arabica Beans</t>
  </si>
  <si>
    <t>kg loss/kg Dry Beans</t>
  </si>
  <si>
    <t>P-S</t>
  </si>
  <si>
    <t>Varying from 0.022 to 0.160</t>
  </si>
  <si>
    <t>Coffee Beans Inlet Temp</t>
  </si>
  <si>
    <t>oC</t>
  </si>
  <si>
    <t>TB0</t>
  </si>
  <si>
    <t>Ambient Temp</t>
  </si>
  <si>
    <t>TA</t>
  </si>
  <si>
    <t>Moisure Evaportation Temp</t>
  </si>
  <si>
    <t>TM</t>
  </si>
  <si>
    <t>Chaff Temp</t>
  </si>
  <si>
    <t>TCH</t>
  </si>
  <si>
    <t>Dry Matter Breakdown Temp</t>
  </si>
  <si>
    <t>TPE</t>
  </si>
  <si>
    <t>End-of-Roast Temp</t>
  </si>
  <si>
    <t>TBF</t>
  </si>
  <si>
    <t>Very Light Roast: 214, Medium Roast: 236, Dark Roast: 255</t>
  </si>
  <si>
    <t>Afterburner Temp</t>
  </si>
  <si>
    <t>TAB</t>
  </si>
  <si>
    <t>Catalytic Afterburner: 400oC, Thermal Afterburner: 760oC</t>
  </si>
  <si>
    <t>Furnace Temp</t>
  </si>
  <si>
    <t>TF</t>
  </si>
  <si>
    <t>Typical Values: 1260 or 1530oC</t>
  </si>
  <si>
    <t>SCG Production</t>
  </si>
  <si>
    <t>SCG Moisture Content</t>
  </si>
  <si>
    <t>Constants</t>
  </si>
  <si>
    <t>Moisture ΔHvap</t>
  </si>
  <si>
    <t>Heat Capacity for Gas/Dry Matter</t>
  </si>
  <si>
    <t>kJ/kgC</t>
  </si>
  <si>
    <t>CG</t>
  </si>
  <si>
    <t>All Calculations based on Schwartzberg (2013).</t>
  </si>
  <si>
    <t>Solvation &amp; Separation</t>
  </si>
  <si>
    <t>Soxhlet Extraction</t>
  </si>
  <si>
    <t>Liquid</t>
  </si>
  <si>
    <t>Dry Liquor</t>
  </si>
  <si>
    <t>Ionic Liquid</t>
  </si>
  <si>
    <t>Lignin (Insoluble)</t>
  </si>
  <si>
    <t>Lignin (Soluble)</t>
  </si>
  <si>
    <t>Energy Required</t>
  </si>
  <si>
    <t>Solvation IL to Water</t>
  </si>
  <si>
    <t>IL Price</t>
  </si>
  <si>
    <t>Varies from 1.24 to 50 (Talbot)</t>
  </si>
  <si>
    <t>Ethanol Price</t>
  </si>
  <si>
    <t>$/L</t>
  </si>
  <si>
    <t>Ethanol in 1st Filtration</t>
  </si>
  <si>
    <t>ml per g of biomass</t>
  </si>
  <si>
    <t>Ethanol Density</t>
  </si>
  <si>
    <t>kg/L</t>
  </si>
  <si>
    <t>Composition (w/w)</t>
  </si>
  <si>
    <t>CRM and Lignin Concentration after IL Pre Treatment</t>
  </si>
  <si>
    <t>Miscanthus (Talbot Biomass)</t>
  </si>
  <si>
    <t>Initial</t>
  </si>
  <si>
    <t>To CRM</t>
  </si>
  <si>
    <t>To Liquor</t>
  </si>
  <si>
    <t>Very Light Roast</t>
  </si>
  <si>
    <t>Roast Temperatures</t>
  </si>
  <si>
    <t>Medium Roast</t>
  </si>
  <si>
    <t>Dark Roast</t>
  </si>
  <si>
    <t>Select Roast Type</t>
  </si>
  <si>
    <t>Coffee Bean Supply Rate</t>
  </si>
  <si>
    <t>Coffee Roaster - Process Details</t>
  </si>
  <si>
    <t>Product</t>
  </si>
  <si>
    <t>Furnace</t>
  </si>
  <si>
    <t>Thermal Losses from Stack with AB</t>
  </si>
  <si>
    <t>Afterburner Temperature</t>
  </si>
  <si>
    <t>SCG + Silverskin</t>
  </si>
  <si>
    <t>Inherent Water</t>
  </si>
  <si>
    <t>Added Water</t>
  </si>
  <si>
    <t>IL</t>
  </si>
  <si>
    <t>IL Liquor</t>
  </si>
  <si>
    <t>Biorefinery - Process Details</t>
  </si>
  <si>
    <t>Scale Up Solvent Reduction</t>
  </si>
  <si>
    <t>EtOH</t>
  </si>
  <si>
    <t>Ethanol in CRM Wash</t>
  </si>
  <si>
    <t>Ethanol ΔHvap @78oC</t>
  </si>
  <si>
    <t>Ethanol ΔHvap @40oC</t>
  </si>
  <si>
    <t>Wet CRM</t>
  </si>
  <si>
    <t>Wet Pulp</t>
  </si>
  <si>
    <t>Washing Solvent</t>
  </si>
  <si>
    <t>Water Density</t>
  </si>
  <si>
    <t>Filtration</t>
  </si>
  <si>
    <t>Wet Liquor</t>
  </si>
  <si>
    <t>Evaporator (@78oC)</t>
  </si>
  <si>
    <t>Rotavap (@40oC)</t>
  </si>
  <si>
    <t>Water in CRM Wash</t>
  </si>
  <si>
    <t>ml per g of IL</t>
  </si>
  <si>
    <t>Water Wash</t>
  </si>
  <si>
    <t>IL Recovery using EtOH</t>
  </si>
  <si>
    <t>IL Recovery using Water</t>
  </si>
  <si>
    <t>Wet Lignin</t>
  </si>
  <si>
    <t>Precipitation</t>
  </si>
  <si>
    <t>Washed Liquor</t>
  </si>
  <si>
    <t>Wet IL Liquor</t>
  </si>
  <si>
    <t>Water in Lignin after Filtration</t>
  </si>
  <si>
    <t>My Assumptions</t>
  </si>
  <si>
    <t>Extra IL</t>
  </si>
  <si>
    <t>Distillation Water Output</t>
  </si>
  <si>
    <t>Water is recycled from the distillation stream</t>
  </si>
  <si>
    <t>Coffee bean hours per year</t>
  </si>
  <si>
    <t>GJ/yr heat</t>
  </si>
  <si>
    <t>Overall Process</t>
  </si>
  <si>
    <t>=Capacity (kW)</t>
  </si>
  <si>
    <t>Biorefinery Thermal Requirements</t>
  </si>
  <si>
    <t>Roasting Electricity Requirements</t>
  </si>
  <si>
    <t>Roasting Thermal Requirements</t>
  </si>
  <si>
    <t>Enthalpy from Stack Gas</t>
  </si>
  <si>
    <t>Biorefinery Electricity Requirements</t>
  </si>
  <si>
    <t>TEA HSO4 Density</t>
  </si>
  <si>
    <t>Total Annual Thermal Requirements</t>
  </si>
  <si>
    <t>MAIN OUTPUTS</t>
  </si>
  <si>
    <t>MAIN INPUTS</t>
  </si>
  <si>
    <t>GJ/yr electricity</t>
  </si>
  <si>
    <t>Sources &amp; Other Notes</t>
  </si>
  <si>
    <t>Outputs/hr</t>
  </si>
  <si>
    <t>Outputs/yr</t>
  </si>
  <si>
    <t>Capex working</t>
  </si>
  <si>
    <t>Brandt-Talbot 2017:</t>
  </si>
  <si>
    <t>Capex</t>
  </si>
  <si>
    <t>Output</t>
  </si>
  <si>
    <t>Proportionate cost:</t>
  </si>
  <si>
    <t>of B-T</t>
  </si>
  <si>
    <t>CHP Feasibility</t>
  </si>
  <si>
    <t>GJ/yr</t>
  </si>
  <si>
    <t>Electrical %</t>
  </si>
  <si>
    <t>Heat %</t>
  </si>
  <si>
    <t>Notes</t>
  </si>
  <si>
    <t>Heat hours / year</t>
  </si>
  <si>
    <t>Total Annual Electricity Requirements</t>
  </si>
  <si>
    <t>This meets the minimum criterion of around 5000 hours per year, although most of the enthalpy would be retained in the system as water and IL are recycled.  We haven't taken this into account.</t>
  </si>
  <si>
    <t>Peak heat requirement</t>
  </si>
  <si>
    <t>Pretreatment</t>
  </si>
  <si>
    <t>kWth</t>
  </si>
  <si>
    <t>kWh</t>
  </si>
  <si>
    <t>CHP electrical efficiency</t>
  </si>
  <si>
    <t>CHP electrical capacity</t>
  </si>
  <si>
    <t>kWe</t>
  </si>
  <si>
    <t>Annual power generation (operating hours)</t>
  </si>
  <si>
    <t>On-Site Power Generation (no heat)</t>
  </si>
  <si>
    <t>Turbine rating</t>
  </si>
  <si>
    <t>Operating hours</t>
  </si>
  <si>
    <t>Hours/yr</t>
  </si>
  <si>
    <t xml:space="preserve">Annual power generation </t>
  </si>
  <si>
    <t>% annual power load</t>
  </si>
  <si>
    <t>This would a modest physical size - e.g. Vestas V39 (39m rotor, overall blade tip height around 60m (200ft).</t>
  </si>
  <si>
    <t>kWth/hr</t>
  </si>
  <si>
    <t>Tangerine Confectionery - Energ Presentation</t>
  </si>
  <si>
    <t>Heat efficiency (gas turbine)</t>
  </si>
  <si>
    <t>Annual heat output</t>
  </si>
  <si>
    <t>kWh-th/yr</t>
  </si>
  <si>
    <t>MWh-th/yr</t>
  </si>
  <si>
    <t>% annual net heat load</t>
  </si>
  <si>
    <t>£</t>
  </si>
  <si>
    <t>Biorefinery + Roaster electrical load</t>
  </si>
  <si>
    <t>Biorefinery + Roaster heat load</t>
  </si>
  <si>
    <t>Ricardo AEA Table A6</t>
  </si>
  <si>
    <t>CHP heat capacity</t>
  </si>
  <si>
    <t>Ricardo AEA (CHP)</t>
  </si>
  <si>
    <t>Power</t>
  </si>
  <si>
    <t>Wind - Ave wind speed 6 m/s</t>
  </si>
  <si>
    <t>Per day</t>
  </si>
  <si>
    <t>Heat input - cycles 2+</t>
  </si>
  <si>
    <t>Solvation Biomass to Liquid</t>
  </si>
  <si>
    <t>10% is lost before recycling so only this needs to be input for the next cycle</t>
  </si>
  <si>
    <t>Cycles / day</t>
  </si>
  <si>
    <t>Days / yr</t>
  </si>
  <si>
    <t>Heat input / yr - cycle 1</t>
  </si>
  <si>
    <t>days</t>
  </si>
  <si>
    <t>Heat input needed for the first cycle each day.</t>
  </si>
  <si>
    <t>For the other 3 cycles per day, only 10% top up each time</t>
  </si>
  <si>
    <t>This makes the beans and SCG/silverskin throughputs approximately equal</t>
  </si>
  <si>
    <t>This is 16 hours per day i.e. 2 shifts</t>
  </si>
  <si>
    <t>Total heat input / yr</t>
  </si>
  <si>
    <t>Annual Heat Requirement - Biorefinery (Standalone)</t>
  </si>
  <si>
    <t>Roaster waste heat (/hr)</t>
  </si>
  <si>
    <t>Roaster waste heat (/yr)</t>
  </si>
  <si>
    <t>% biorefinery supplied from roaster</t>
  </si>
  <si>
    <t>Net heat requirement</t>
  </si>
  <si>
    <t>Bypass saving</t>
  </si>
  <si>
    <t>Annual heat cost</t>
  </si>
  <si>
    <t>Annual Heat Requirement - Roastery (Standalone)</t>
  </si>
  <si>
    <t>Heat input / yr</t>
  </si>
  <si>
    <t>Total heat cost (standalone)</t>
  </si>
  <si>
    <t>Electricity</t>
  </si>
  <si>
    <t>Electricity - Biorefinery (Standalone)</t>
  </si>
  <si>
    <t>Annual consumption</t>
  </si>
  <si>
    <t>Annual cost</t>
  </si>
  <si>
    <t>Brandt-Talbot costs are in 2014 USD (see SI, page 18)</t>
  </si>
  <si>
    <t>Pera study was in 2014, so should be 2014 values.</t>
  </si>
  <si>
    <t>Converted from £96.20/MWh (2014 average for medium scale users in ONS 'Prices of fuels purchased by non-domestic consumers in the UK' at 2014 average exchange rate of $1.647701 per £ (https://www.ofx.com/en-gb/forex-news/historical-exchange-rates/)</t>
  </si>
  <si>
    <t>All the pumps, hopper and "the end"</t>
  </si>
  <si>
    <t>Oven</t>
  </si>
  <si>
    <t>Converted from £28.889/MWh (2014 average for medium scale users in ONS 'Prices of fuels purchased by non-domestic consumers in the UK' at 2014 average exchange rate of $1.647701 per £ (https://www.ofx.com/en-gb/forex-news/historical-exchange-rates/)</t>
  </si>
  <si>
    <t>Annual Heat Requirement - Roaster &amp; Biorefinery (Co-located)</t>
  </si>
  <si>
    <t>Roaster input</t>
  </si>
  <si>
    <t>Biorefinery input</t>
  </si>
  <si>
    <t>Annual heat cost saving</t>
  </si>
  <si>
    <t>% saving</t>
  </si>
  <si>
    <t>Vessel operates on successive 4 hour cycles.  This makes the throughput per hour a quarter of the roastery, but this disparity is made up with longer hours.</t>
  </si>
  <si>
    <t>For separate facilities heat costs, see On-Site Feasibility sheet.</t>
  </si>
  <si>
    <t>Pera study 2014</t>
  </si>
  <si>
    <t>Brandt-Talbot 2017.  Yr not stated but costs were in 2014 USD so it is assumed that prices were also in USD 2014.</t>
  </si>
  <si>
    <t>NPV (5 yr)</t>
  </si>
  <si>
    <t>NPV (10 yr)</t>
  </si>
  <si>
    <t>IRR (5 yr)</t>
  </si>
  <si>
    <t>IRR (10 yr)</t>
  </si>
  <si>
    <t>Pera costing</t>
  </si>
  <si>
    <t>£96k</t>
  </si>
  <si>
    <t>Ratios</t>
  </si>
  <si>
    <t>Heat-Led Calculation</t>
  </si>
  <si>
    <t>Electricity-Led Calculation</t>
  </si>
  <si>
    <t>Peak power requirement (inc contingency)</t>
  </si>
  <si>
    <t>Heat capacity</t>
  </si>
  <si>
    <t>Annual heat surplus</t>
  </si>
  <si>
    <t>Annual electricity load</t>
  </si>
  <si>
    <t>Net surplus / deficit</t>
  </si>
  <si>
    <t>Line Length</t>
  </si>
  <si>
    <t>Pump Efficiency</t>
  </si>
  <si>
    <t>% surplus/deficit</t>
  </si>
  <si>
    <t>B-T * 2.5</t>
  </si>
  <si>
    <t>elec</t>
  </si>
  <si>
    <t>CHP</t>
  </si>
  <si>
    <t>HP</t>
  </si>
  <si>
    <t>heat</t>
  </si>
  <si>
    <t>get</t>
  </si>
  <si>
    <t>in</t>
  </si>
  <si>
    <t>CHP - Heat Pump Comparison</t>
  </si>
  <si>
    <t>Electricity - Roastery (Standalone)</t>
  </si>
  <si>
    <t>Electricity - Roaster &amp; Biorefinery (Co-located)</t>
  </si>
  <si>
    <t>Annual electricity saving</t>
  </si>
  <si>
    <t>Tonnes IL hours 5-400 (99 cycles)</t>
  </si>
  <si>
    <t>Tonnes IL/100 cycles</t>
  </si>
  <si>
    <t>Tonnes IL/yr</t>
  </si>
  <si>
    <t>Tonnes IL hours 1-4 (first cycle)</t>
  </si>
  <si>
    <t>Heat input - cycle 1 (hours 1-4)</t>
  </si>
  <si>
    <t>Drying (lignin)</t>
  </si>
  <si>
    <t>Membrane Distillation</t>
  </si>
  <si>
    <t>Heat input - cycles 2-4 (hours 5-16)</t>
  </si>
  <si>
    <t>An assumed 10% topup to the existing heat would be required.</t>
  </si>
  <si>
    <t>kWh/tonne</t>
  </si>
  <si>
    <t>Shaded areas assumed to be subsets of the components above, which together sum to almost 100%</t>
  </si>
  <si>
    <t>Ethanol Wash (bypassed)</t>
  </si>
  <si>
    <t>= eliminated by co-location</t>
  </si>
  <si>
    <t>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</si>
</sst>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3" formatCode="_-* #,##0.00_-;\-* #,##0.00_-;_-* &quot;-&quot;??_-;_-@_-"/>
    <numFmt numFmtId="164" formatCode="0.0%"/>
    <numFmt numFmtId="165" formatCode="_-* #,##0_-;\-* #,##0_-;_-* &quot;-&quot;??_-;_-@_-"/>
    <numFmt numFmtId="166" formatCode="#,##0_ ;[Red]\-#,##0\ "/>
    <numFmt numFmtId="167" formatCode="0.0"/>
    <numFmt numFmtId="168" formatCode="_-* #,##0.0_-;\-* #,##0.0_-;_-* &quot;-&quot;??_-;_-@_-"/>
    <numFmt numFmtId="169" formatCode="0_ ;[Red]\-0\ "/>
  </numFmts>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12"/>
      <color rgb="FFFF0000"/>
      <name val="Calibri"/>
      <family val="2"/>
      <scheme val="minor"/>
    </font>
    <font>
      <sz val="10"/>
      <color theme="1"/>
      <name val="Arial"/>
      <family val="2"/>
    </font>
    <font>
      <sz val="9"/>
      <color indexed="81"/>
      <name val="Tahoma"/>
      <family val="2"/>
    </font>
    <font>
      <b/>
      <sz val="9"/>
      <color indexed="81"/>
      <name val="Tahoma"/>
      <family val="2"/>
    </font>
    <font>
      <sz val="10"/>
      <color theme="1"/>
      <name val="Calibri"/>
      <family val="2"/>
      <scheme val="minor"/>
    </font>
    <font>
      <sz val="8"/>
      <color theme="1"/>
      <name val="Calibri"/>
      <family val="2"/>
      <scheme val="minor"/>
    </font>
    <font>
      <sz val="12"/>
      <color theme="1"/>
      <name val="Calibri"/>
      <family val="2"/>
    </font>
    <font>
      <sz val="11"/>
      <color theme="1"/>
      <name val="Calibri"/>
      <family val="2"/>
      <scheme val="minor"/>
    </font>
    <font>
      <sz val="9"/>
      <color theme="1"/>
      <name val="Calibri"/>
      <family val="2"/>
      <scheme val="minor"/>
    </font>
    <font>
      <sz val="12"/>
      <color theme="1"/>
      <name val="Arial"/>
      <family val="2"/>
    </font>
    <font>
      <sz val="12"/>
      <color rgb="FFFF00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1"/>
      <name val="Calibri"/>
      <family val="2"/>
      <scheme val="minor"/>
    </font>
    <font>
      <b/>
      <sz val="11"/>
      <color rgb="FF9C0006"/>
      <name val="Calibri"/>
      <family val="2"/>
      <scheme val="minor"/>
    </font>
    <font>
      <b/>
      <sz val="11"/>
      <color rgb="FFFF0000"/>
      <name val="Calibri"/>
      <family val="2"/>
      <charset val="161"/>
      <scheme val="minor"/>
    </font>
    <font>
      <b/>
      <sz val="11"/>
      <color rgb="FF006100"/>
      <name val="Calibri"/>
      <family val="2"/>
      <scheme val="minor"/>
    </font>
    <font>
      <b/>
      <sz val="11"/>
      <color rgb="FF9C6500"/>
      <name val="Calibri"/>
      <family val="2"/>
      <scheme val="minor"/>
    </font>
    <font>
      <sz val="11"/>
      <name val="Calibri"/>
      <family val="2"/>
      <charset val="161"/>
      <scheme val="minor"/>
    </font>
    <font>
      <b/>
      <sz val="11"/>
      <color theme="1"/>
      <name val="Calibri"/>
      <family val="2"/>
      <charset val="161"/>
      <scheme val="minor"/>
    </font>
    <font>
      <sz val="12"/>
      <color theme="0"/>
      <name val="Calibri"/>
      <family val="2"/>
      <scheme val="minor"/>
    </font>
    <font>
      <b/>
      <sz val="12"/>
      <color rgb="FF3F3F76"/>
      <name val="Calibri"/>
      <family val="2"/>
      <scheme val="minor"/>
    </font>
    <font>
      <b/>
      <sz val="10"/>
      <color rgb="FFFF0000"/>
      <name val="Calibri"/>
      <family val="2"/>
      <scheme val="minor"/>
    </font>
    <font>
      <sz val="11"/>
      <color rgb="FFFF0000"/>
      <name val="Calibri"/>
      <family val="2"/>
      <scheme val="minor"/>
    </font>
    <font>
      <b/>
      <sz val="11"/>
      <color rgb="FFFA7D00"/>
      <name val="Calibri"/>
      <family val="2"/>
      <scheme val="minor"/>
    </font>
    <font>
      <b/>
      <sz val="14"/>
      <color rgb="FF3F3F76"/>
      <name val="Calibri"/>
      <family val="2"/>
      <charset val="161"/>
      <scheme val="minor"/>
    </font>
    <font>
      <b/>
      <sz val="12"/>
      <color rgb="FFFA7D00"/>
      <name val="Calibri"/>
      <family val="2"/>
      <scheme val="minor"/>
    </font>
    <font>
      <b/>
      <sz val="14"/>
      <color rgb="FFFA7D00"/>
      <name val="Calibri"/>
      <family val="2"/>
      <scheme val="minor"/>
    </font>
    <font>
      <b/>
      <sz val="12"/>
      <color theme="1"/>
      <name val="Calibri"/>
      <family val="2"/>
      <charset val="161"/>
      <scheme val="minor"/>
    </font>
    <font>
      <i/>
      <sz val="11"/>
      <color theme="1"/>
      <name val="Calibri"/>
      <family val="2"/>
      <scheme val="minor"/>
    </font>
    <font>
      <b/>
      <sz val="11"/>
      <color rgb="FF00B050"/>
      <name val="Calibri"/>
      <family val="2"/>
      <scheme val="minor"/>
    </font>
    <font>
      <sz val="11"/>
      <name val="Calibri"/>
      <family val="2"/>
      <scheme val="minor"/>
    </font>
  </fonts>
  <fills count="20">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2"/>
        <bgColor indexed="64"/>
      </patternFill>
    </fill>
    <fill>
      <patternFill patternType="solid">
        <fgColor theme="8"/>
        <bgColor indexed="64"/>
      </patternFill>
    </fill>
    <fill>
      <patternFill patternType="solid">
        <fgColor rgb="FF92D050"/>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2F2F2"/>
      </patternFill>
    </fill>
    <fill>
      <patternFill patternType="solid">
        <fgColor theme="7" tint="0.59999389629810485"/>
        <bgColor indexed="64"/>
      </patternFill>
    </fill>
    <fill>
      <patternFill patternType="solid">
        <fgColor rgb="FFCDF2FF"/>
        <bgColor indexed="64"/>
      </patternFill>
    </fill>
    <fill>
      <patternFill patternType="solid">
        <fgColor theme="6" tint="0.59999389629810485"/>
        <bgColor indexed="64"/>
      </patternFill>
    </fill>
  </fills>
  <borders count="37">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rgb="FF7F7F7F"/>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rgb="FF7F7F7F"/>
      </top>
      <bottom/>
      <diagonal/>
    </border>
    <border>
      <left/>
      <right style="thin">
        <color rgb="FF7F7F7F"/>
      </right>
      <top style="thin">
        <color rgb="FF7F7F7F"/>
      </top>
      <bottom/>
      <diagonal/>
    </border>
    <border>
      <left/>
      <right/>
      <top/>
      <bottom style="thin">
        <color rgb="FF7F7F7F"/>
      </bottom>
      <diagonal/>
    </border>
    <border>
      <left/>
      <right style="thin">
        <color rgb="FF7F7F7F"/>
      </right>
      <top/>
      <bottom style="thin">
        <color rgb="FF7F7F7F"/>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right style="thin">
        <color rgb="FF7F7F7F"/>
      </right>
      <top style="medium">
        <color indexed="64"/>
      </top>
      <bottom style="medium">
        <color indexed="64"/>
      </bottom>
      <diagonal/>
    </border>
    <border>
      <left style="medium">
        <color indexed="64"/>
      </left>
      <right style="thin">
        <color rgb="FF7F7F7F"/>
      </right>
      <top style="medium">
        <color indexed="64"/>
      </top>
      <bottom/>
      <diagonal/>
    </border>
    <border>
      <left style="thin">
        <color rgb="FF7F7F7F"/>
      </left>
      <right style="thin">
        <color rgb="FF7F7F7F"/>
      </right>
      <top style="medium">
        <color indexed="64"/>
      </top>
      <bottom/>
      <diagonal/>
    </border>
    <border>
      <left style="thin">
        <color rgb="FF7F7F7F"/>
      </left>
      <right style="medium">
        <color indexed="64"/>
      </right>
      <top style="medium">
        <color indexed="64"/>
      </top>
      <bottom/>
      <diagonal/>
    </border>
  </borders>
  <cellStyleXfs count="10">
    <xf numFmtId="0" fontId="0" fillId="0" borderId="0"/>
    <xf numFmtId="9" fontId="23" fillId="0" borderId="0" applyFont="0" applyFill="0" applyBorder="0" applyAlignment="0" applyProtection="0"/>
    <xf numFmtId="43" fontId="23" fillId="0" borderId="0" applyFont="0" applyFill="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6" fillId="13" borderId="4" applyNumberFormat="0" applyAlignment="0" applyProtection="0"/>
    <xf numFmtId="0" fontId="17" fillId="0" borderId="0"/>
    <xf numFmtId="9" fontId="17" fillId="0" borderId="0" applyFont="0" applyFill="0" applyBorder="0" applyAlignment="0" applyProtection="0"/>
    <xf numFmtId="0" fontId="48" fillId="16" borderId="4" applyNumberFormat="0" applyAlignment="0" applyProtection="0"/>
  </cellStyleXfs>
  <cellXfs count="239">
    <xf numFmtId="0" fontId="0" fillId="0" borderId="0" xfId="0"/>
    <xf numFmtId="0" fontId="18" fillId="0" borderId="0" xfId="0" applyFont="1"/>
    <xf numFmtId="0" fontId="19" fillId="0" borderId="0" xfId="0" applyFont="1"/>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left" vertical="center"/>
    </xf>
    <xf numFmtId="0" fontId="18" fillId="2" borderId="0" xfId="0" applyFont="1" applyFill="1" applyAlignment="1">
      <alignment horizontal="center" vertical="center"/>
    </xf>
    <xf numFmtId="0" fontId="18" fillId="0" borderId="0" xfId="0" quotePrefix="1" applyFont="1" applyAlignment="1">
      <alignment horizontal="center" vertical="center"/>
    </xf>
    <xf numFmtId="0" fontId="18" fillId="3" borderId="0" xfId="0" applyFont="1" applyFill="1" applyAlignment="1">
      <alignment horizontal="center" vertical="center"/>
    </xf>
    <xf numFmtId="0" fontId="18" fillId="4" borderId="0" xfId="0" applyFont="1" applyFill="1" applyAlignment="1">
      <alignment horizontal="center" vertical="center"/>
    </xf>
    <xf numFmtId="0" fontId="18" fillId="5" borderId="0" xfId="0" applyFont="1" applyFill="1" applyAlignment="1">
      <alignment horizontal="center" vertical="center"/>
    </xf>
    <xf numFmtId="0" fontId="18" fillId="0" borderId="0" xfId="0" applyFont="1" applyAlignment="1">
      <alignment horizontal="left" vertical="center"/>
    </xf>
    <xf numFmtId="0" fontId="18" fillId="0" borderId="0" xfId="0" applyFont="1" applyAlignment="1">
      <alignment horizontal="left" indent="2"/>
    </xf>
    <xf numFmtId="0" fontId="18" fillId="0" borderId="0" xfId="0" applyFont="1" applyAlignment="1">
      <alignment horizontal="left" vertical="center" indent="2"/>
    </xf>
    <xf numFmtId="0" fontId="18" fillId="0" borderId="0" xfId="0" applyFont="1" applyAlignment="1">
      <alignment horizontal="right" vertical="center"/>
    </xf>
    <xf numFmtId="2" fontId="18" fillId="0" borderId="0" xfId="0" applyNumberFormat="1" applyFont="1" applyAlignment="1">
      <alignment vertical="center"/>
    </xf>
    <xf numFmtId="0" fontId="22" fillId="0" borderId="0" xfId="0" applyFont="1" applyAlignment="1">
      <alignment vertical="center"/>
    </xf>
    <xf numFmtId="1" fontId="18" fillId="4" borderId="0" xfId="0" applyNumberFormat="1" applyFont="1" applyFill="1" applyAlignment="1">
      <alignment horizontal="center" vertical="center"/>
    </xf>
    <xf numFmtId="0" fontId="27" fillId="0" borderId="0" xfId="0" quotePrefix="1" applyFont="1" applyAlignment="1">
      <alignment horizontal="left" vertical="center"/>
    </xf>
    <xf numFmtId="0" fontId="18" fillId="7" borderId="0" xfId="0" applyFont="1" applyFill="1" applyAlignment="1">
      <alignment horizontal="center" vertical="center"/>
    </xf>
    <xf numFmtId="164" fontId="18" fillId="0" borderId="0" xfId="1" applyNumberFormat="1" applyFont="1" applyAlignment="1">
      <alignment vertical="center"/>
    </xf>
    <xf numFmtId="0" fontId="18" fillId="0" borderId="0" xfId="0" applyFont="1" applyAlignment="1">
      <alignment horizontal="left" vertical="center" indent="1"/>
    </xf>
    <xf numFmtId="2" fontId="18" fillId="3" borderId="0" xfId="0" applyNumberFormat="1" applyFont="1" applyFill="1" applyAlignment="1">
      <alignment horizontal="center" vertical="center"/>
    </xf>
    <xf numFmtId="0" fontId="18" fillId="0" borderId="2" xfId="0" applyFont="1" applyBorder="1" applyAlignment="1">
      <alignment vertical="center"/>
    </xf>
    <xf numFmtId="0" fontId="19" fillId="0" borderId="2" xfId="0" applyFont="1" applyBorder="1" applyAlignment="1">
      <alignment vertical="center"/>
    </xf>
    <xf numFmtId="0" fontId="19" fillId="0" borderId="2" xfId="0" applyFont="1" applyBorder="1" applyAlignment="1">
      <alignment vertical="center" wrapText="1"/>
    </xf>
    <xf numFmtId="0" fontId="18" fillId="0" borderId="2" xfId="0" applyFont="1" applyBorder="1" applyAlignment="1">
      <alignment vertical="center" wrapText="1"/>
    </xf>
    <xf numFmtId="0" fontId="18" fillId="0" borderId="2" xfId="0" applyFont="1" applyBorder="1" applyAlignment="1">
      <alignment horizontal="left" vertical="center" indent="1"/>
    </xf>
    <xf numFmtId="20" fontId="18" fillId="0" borderId="2" xfId="0" applyNumberFormat="1" applyFont="1" applyBorder="1" applyAlignment="1">
      <alignment vertical="center"/>
    </xf>
    <xf numFmtId="0" fontId="20" fillId="0" borderId="0" xfId="0" applyFont="1" applyAlignment="1">
      <alignment vertical="center"/>
    </xf>
    <xf numFmtId="0" fontId="18" fillId="6" borderId="2" xfId="0" applyFont="1" applyFill="1" applyBorder="1" applyAlignment="1">
      <alignment vertical="center"/>
    </xf>
    <xf numFmtId="0" fontId="18" fillId="6" borderId="2" xfId="0" applyFont="1" applyFill="1" applyBorder="1" applyAlignment="1">
      <alignment vertical="center" wrapText="1"/>
    </xf>
    <xf numFmtId="0" fontId="18" fillId="6" borderId="2" xfId="0" applyFont="1" applyFill="1" applyBorder="1" applyAlignment="1">
      <alignment horizontal="left" vertical="center" indent="1"/>
    </xf>
    <xf numFmtId="0" fontId="28" fillId="0" borderId="0" xfId="0" applyFont="1" applyAlignment="1">
      <alignment horizontal="center" vertical="center"/>
    </xf>
    <xf numFmtId="0" fontId="18" fillId="0" borderId="0" xfId="0" quotePrefix="1" applyFont="1" applyAlignment="1">
      <alignment horizontal="left" vertical="center"/>
    </xf>
    <xf numFmtId="0" fontId="27" fillId="2" borderId="1" xfId="0" applyFont="1" applyFill="1" applyBorder="1" applyAlignment="1">
      <alignment horizontal="left" vertical="center"/>
    </xf>
    <xf numFmtId="0" fontId="29" fillId="7" borderId="0" xfId="0" applyFont="1" applyFill="1" applyAlignment="1">
      <alignment horizontal="center" vertical="center"/>
    </xf>
    <xf numFmtId="0" fontId="22" fillId="0" borderId="0" xfId="0" applyFont="1" applyAlignment="1">
      <alignment horizontal="left" vertical="center"/>
    </xf>
    <xf numFmtId="9" fontId="18" fillId="0" borderId="0" xfId="1" applyFont="1"/>
    <xf numFmtId="1" fontId="18" fillId="0" borderId="0" xfId="1" applyNumberFormat="1" applyFont="1"/>
    <xf numFmtId="0" fontId="18" fillId="0" borderId="0" xfId="0" applyFont="1" applyAlignment="1">
      <alignment horizontal="left" indent="1"/>
    </xf>
    <xf numFmtId="0" fontId="19" fillId="8" borderId="0" xfId="0" applyFont="1" applyFill="1"/>
    <xf numFmtId="10" fontId="18" fillId="0" borderId="2" xfId="1" applyNumberFormat="1" applyFont="1" applyBorder="1" applyAlignment="1">
      <alignment vertical="center"/>
    </xf>
    <xf numFmtId="10" fontId="18" fillId="6" borderId="2" xfId="1" applyNumberFormat="1" applyFont="1" applyFill="1" applyBorder="1" applyAlignment="1">
      <alignment vertical="center"/>
    </xf>
    <xf numFmtId="10" fontId="18" fillId="0" borderId="0" xfId="1" applyNumberFormat="1" applyFont="1" applyAlignment="1">
      <alignment vertical="center"/>
    </xf>
    <xf numFmtId="2" fontId="18" fillId="0" borderId="0" xfId="1" applyNumberFormat="1" applyFont="1" applyAlignment="1">
      <alignment vertical="center"/>
    </xf>
    <xf numFmtId="1" fontId="18" fillId="3" borderId="0" xfId="0" applyNumberFormat="1" applyFont="1" applyFill="1" applyAlignment="1">
      <alignment horizontal="center" vertical="center"/>
    </xf>
    <xf numFmtId="0" fontId="30" fillId="7" borderId="0" xfId="0" applyFont="1" applyFill="1" applyAlignment="1">
      <alignment horizontal="center" vertical="center"/>
    </xf>
    <xf numFmtId="2" fontId="18" fillId="3" borderId="3" xfId="0" applyNumberFormat="1" applyFont="1" applyFill="1" applyBorder="1" applyAlignment="1">
      <alignment horizontal="center" vertical="center"/>
    </xf>
    <xf numFmtId="165" fontId="18" fillId="0" borderId="0" xfId="2" applyNumberFormat="1" applyFont="1"/>
    <xf numFmtId="165" fontId="18" fillId="0" borderId="0" xfId="0" applyNumberFormat="1" applyFont="1"/>
    <xf numFmtId="166" fontId="18" fillId="0" borderId="2" xfId="2" applyNumberFormat="1" applyFont="1" applyBorder="1" applyAlignment="1">
      <alignment vertical="center"/>
    </xf>
    <xf numFmtId="0" fontId="18" fillId="9" borderId="0" xfId="0" applyFont="1" applyFill="1" applyAlignment="1">
      <alignment horizontal="center" vertical="center"/>
    </xf>
    <xf numFmtId="2" fontId="18" fillId="0" borderId="0" xfId="0" applyNumberFormat="1" applyFont="1"/>
    <xf numFmtId="0" fontId="32" fillId="0" borderId="0" xfId="0" applyFont="1"/>
    <xf numFmtId="1" fontId="18" fillId="0" borderId="0" xfId="0" applyNumberFormat="1" applyFont="1" applyAlignment="1">
      <alignment vertical="center"/>
    </xf>
    <xf numFmtId="1" fontId="18" fillId="0" borderId="0" xfId="0" applyNumberFormat="1" applyFont="1"/>
    <xf numFmtId="6" fontId="18" fillId="0" borderId="0" xfId="0" applyNumberFormat="1" applyFont="1" applyAlignment="1">
      <alignment vertical="center"/>
    </xf>
    <xf numFmtId="9" fontId="18" fillId="0" borderId="0" xfId="0" applyNumberFormat="1" applyFont="1" applyAlignment="1">
      <alignment vertical="center"/>
    </xf>
    <xf numFmtId="165" fontId="18" fillId="0" borderId="0" xfId="2" applyNumberFormat="1" applyFont="1" applyAlignment="1">
      <alignment horizontal="center" vertical="center"/>
    </xf>
    <xf numFmtId="43" fontId="18" fillId="0" borderId="0" xfId="2" applyFont="1" applyAlignment="1">
      <alignment vertical="center"/>
    </xf>
    <xf numFmtId="165" fontId="18" fillId="0" borderId="0" xfId="0" applyNumberFormat="1" applyFont="1" applyAlignment="1">
      <alignment vertical="center"/>
    </xf>
    <xf numFmtId="43" fontId="18" fillId="0" borderId="0" xfId="0" applyNumberFormat="1" applyFont="1" applyAlignment="1">
      <alignment vertical="center"/>
    </xf>
    <xf numFmtId="9" fontId="18" fillId="0" borderId="0" xfId="1" applyFont="1" applyAlignment="1">
      <alignment vertical="center"/>
    </xf>
    <xf numFmtId="165" fontId="18" fillId="0" borderId="0" xfId="2" applyNumberFormat="1" applyFont="1" applyAlignment="1">
      <alignment vertical="center"/>
    </xf>
    <xf numFmtId="0" fontId="17" fillId="0" borderId="5" xfId="7" applyBorder="1"/>
    <xf numFmtId="0" fontId="17" fillId="0" borderId="0" xfId="7"/>
    <xf numFmtId="0" fontId="37" fillId="0" borderId="5" xfId="7" applyFont="1" applyBorder="1" applyAlignment="1">
      <alignment horizontal="center" vertical="center"/>
    </xf>
    <xf numFmtId="0" fontId="37" fillId="0" borderId="5" xfId="7" applyFont="1" applyBorder="1" applyAlignment="1">
      <alignment horizontal="center" vertical="center" wrapText="1"/>
    </xf>
    <xf numFmtId="0" fontId="37" fillId="0" borderId="5" xfId="7" applyFont="1" applyBorder="1" applyAlignment="1">
      <alignment horizontal="center" wrapText="1"/>
    </xf>
    <xf numFmtId="0" fontId="17" fillId="0" borderId="0" xfId="7" applyAlignment="1">
      <alignment horizontal="center" vertical="center" wrapText="1"/>
    </xf>
    <xf numFmtId="0" fontId="17" fillId="0" borderId="0" xfId="7" applyAlignment="1">
      <alignment horizontal="center" wrapText="1"/>
    </xf>
    <xf numFmtId="0" fontId="17" fillId="0" borderId="5" xfId="7" applyBorder="1" applyAlignment="1">
      <alignment horizontal="center"/>
    </xf>
    <xf numFmtId="0" fontId="39" fillId="0" borderId="5" xfId="7" applyFont="1" applyBorder="1" applyAlignment="1">
      <alignment horizontal="center"/>
    </xf>
    <xf numFmtId="1" fontId="17" fillId="0" borderId="5" xfId="7" applyNumberFormat="1" applyBorder="1" applyAlignment="1">
      <alignment horizontal="center"/>
    </xf>
    <xf numFmtId="0" fontId="17" fillId="0" borderId="0" xfId="7" applyAlignment="1">
      <alignment horizontal="center"/>
    </xf>
    <xf numFmtId="1" fontId="17" fillId="0" borderId="7" xfId="7" applyNumberFormat="1" applyBorder="1"/>
    <xf numFmtId="0" fontId="17" fillId="0" borderId="8" xfId="7" applyBorder="1"/>
    <xf numFmtId="1" fontId="37" fillId="14" borderId="7" xfId="7" applyNumberFormat="1" applyFont="1" applyFill="1" applyBorder="1"/>
    <xf numFmtId="0" fontId="37" fillId="14" borderId="8" xfId="7" applyFont="1" applyFill="1" applyBorder="1"/>
    <xf numFmtId="0" fontId="37" fillId="0" borderId="5" xfId="7" applyFont="1" applyBorder="1"/>
    <xf numFmtId="0" fontId="17" fillId="0" borderId="4" xfId="7" applyBorder="1" applyAlignment="1">
      <alignment horizontal="left"/>
    </xf>
    <xf numFmtId="0" fontId="17" fillId="0" borderId="9" xfId="7" applyBorder="1"/>
    <xf numFmtId="0" fontId="17" fillId="0" borderId="10" xfId="7" applyBorder="1"/>
    <xf numFmtId="0" fontId="17" fillId="0" borderId="4" xfId="7" applyBorder="1"/>
    <xf numFmtId="9" fontId="17" fillId="0" borderId="9" xfId="7" applyNumberFormat="1" applyBorder="1"/>
    <xf numFmtId="0" fontId="37" fillId="0" borderId="13" xfId="7" applyFont="1" applyBorder="1" applyAlignment="1">
      <alignment horizontal="center" vertical="center" wrapText="1"/>
    </xf>
    <xf numFmtId="1" fontId="17" fillId="0" borderId="0" xfId="7" applyNumberFormat="1" applyAlignment="1">
      <alignment horizontal="center"/>
    </xf>
    <xf numFmtId="167" fontId="17" fillId="0" borderId="5" xfId="7" applyNumberFormat="1" applyBorder="1" applyAlignment="1">
      <alignment horizontal="center"/>
    </xf>
    <xf numFmtId="1" fontId="42" fillId="0" borderId="5" xfId="7" applyNumberFormat="1" applyFont="1" applyBorder="1" applyAlignment="1">
      <alignment horizontal="center"/>
    </xf>
    <xf numFmtId="2" fontId="17" fillId="0" borderId="5" xfId="7" applyNumberFormat="1" applyBorder="1" applyAlignment="1">
      <alignment horizontal="center"/>
    </xf>
    <xf numFmtId="0" fontId="17" fillId="0" borderId="14" xfId="7" applyBorder="1" applyAlignment="1">
      <alignment horizontal="center"/>
    </xf>
    <xf numFmtId="1" fontId="17" fillId="0" borderId="14" xfId="7" applyNumberFormat="1" applyBorder="1" applyAlignment="1">
      <alignment horizontal="center"/>
    </xf>
    <xf numFmtId="2" fontId="17" fillId="0" borderId="14" xfId="7" applyNumberFormat="1" applyBorder="1" applyAlignment="1">
      <alignment horizontal="center"/>
    </xf>
    <xf numFmtId="0" fontId="43" fillId="0" borderId="2" xfId="7" applyFont="1" applyBorder="1" applyAlignment="1">
      <alignment horizontal="center"/>
    </xf>
    <xf numFmtId="167" fontId="17" fillId="0" borderId="2" xfId="7" applyNumberFormat="1" applyBorder="1" applyAlignment="1">
      <alignment horizontal="center"/>
    </xf>
    <xf numFmtId="0" fontId="17" fillId="0" borderId="2" xfId="7" applyBorder="1"/>
    <xf numFmtId="0" fontId="37" fillId="0" borderId="0" xfId="7" applyFont="1" applyAlignment="1">
      <alignment vertical="center" wrapText="1"/>
    </xf>
    <xf numFmtId="0" fontId="17" fillId="0" borderId="0" xfId="7" applyAlignment="1">
      <alignment vertical="center"/>
    </xf>
    <xf numFmtId="0" fontId="37" fillId="0" borderId="0" xfId="7" applyFont="1" applyAlignment="1">
      <alignment horizontal="center" vertical="center"/>
    </xf>
    <xf numFmtId="10" fontId="0" fillId="0" borderId="0" xfId="8" applyNumberFormat="1" applyFont="1" applyAlignment="1">
      <alignment horizontal="center" vertical="center"/>
    </xf>
    <xf numFmtId="167" fontId="17" fillId="0" borderId="0" xfId="7" applyNumberFormat="1" applyAlignment="1">
      <alignment horizontal="center"/>
    </xf>
    <xf numFmtId="9" fontId="0" fillId="0" borderId="0" xfId="8" applyFont="1" applyAlignment="1">
      <alignment horizont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0" xfId="0" applyFont="1" applyAlignment="1">
      <alignment horizontal="center" vertical="center" wrapText="1"/>
    </xf>
    <xf numFmtId="2" fontId="18" fillId="0" borderId="0" xfId="0" applyNumberFormat="1" applyFont="1" applyAlignment="1">
      <alignment horizontal="center" vertical="center"/>
    </xf>
    <xf numFmtId="0" fontId="44" fillId="0" borderId="23" xfId="0" applyFont="1" applyBorder="1" applyAlignment="1">
      <alignment horizontal="center" vertical="center"/>
    </xf>
    <xf numFmtId="0" fontId="22" fillId="9" borderId="0" xfId="0" applyFont="1" applyFill="1" applyAlignment="1">
      <alignment horizontal="center" vertical="center"/>
    </xf>
    <xf numFmtId="1" fontId="18" fillId="0" borderId="0" xfId="0" applyNumberFormat="1"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right" vertical="center"/>
    </xf>
    <xf numFmtId="167" fontId="18" fillId="3" borderId="0" xfId="0" applyNumberFormat="1" applyFont="1" applyFill="1" applyAlignment="1">
      <alignment horizontal="center" vertical="center"/>
    </xf>
    <xf numFmtId="1" fontId="27" fillId="0" borderId="0" xfId="0" applyNumberFormat="1" applyFont="1" applyAlignment="1">
      <alignment horizontal="center" vertical="center"/>
    </xf>
    <xf numFmtId="0" fontId="16" fillId="0" borderId="4" xfId="7" applyFont="1" applyBorder="1" applyAlignment="1">
      <alignment horizontal="left"/>
    </xf>
    <xf numFmtId="0" fontId="16" fillId="0" borderId="10" xfId="7" applyFont="1" applyBorder="1"/>
    <xf numFmtId="0" fontId="16" fillId="0" borderId="0" xfId="7" applyFont="1"/>
    <xf numFmtId="167" fontId="18" fillId="3" borderId="3" xfId="0" applyNumberFormat="1" applyFont="1" applyFill="1" applyBorder="1" applyAlignment="1">
      <alignment horizontal="center" vertical="center"/>
    </xf>
    <xf numFmtId="0" fontId="46" fillId="0" borderId="0" xfId="0" applyFont="1" applyAlignment="1">
      <alignment horizontal="right" vertical="center"/>
    </xf>
    <xf numFmtId="0" fontId="27" fillId="0" borderId="0" xfId="0" applyFont="1" applyAlignment="1">
      <alignment horizontal="left" vertical="center"/>
    </xf>
    <xf numFmtId="0" fontId="26" fillId="0" borderId="0" xfId="0" applyFont="1" applyAlignment="1">
      <alignment horizontal="center" vertical="center"/>
    </xf>
    <xf numFmtId="0" fontId="30" fillId="0" borderId="0" xfId="0" applyFont="1" applyAlignment="1">
      <alignment horizontal="center" vertical="center"/>
    </xf>
    <xf numFmtId="0" fontId="15" fillId="0" borderId="4" xfId="7" applyFont="1" applyBorder="1" applyAlignment="1">
      <alignment horizontal="left"/>
    </xf>
    <xf numFmtId="0" fontId="15" fillId="0" borderId="10" xfId="7" applyFont="1" applyBorder="1"/>
    <xf numFmtId="0" fontId="47" fillId="0" borderId="4" xfId="7" applyFont="1" applyBorder="1" applyAlignment="1">
      <alignment horizontal="left"/>
    </xf>
    <xf numFmtId="9" fontId="47" fillId="0" borderId="9" xfId="7" applyNumberFormat="1" applyFont="1" applyBorder="1"/>
    <xf numFmtId="0" fontId="46" fillId="0" borderId="0" xfId="0" applyFont="1" applyAlignment="1">
      <alignment horizontal="left" vertical="center"/>
    </xf>
    <xf numFmtId="0" fontId="18" fillId="0" borderId="23" xfId="0" applyFont="1" applyBorder="1" applyAlignment="1">
      <alignment horizontal="center" vertical="center"/>
    </xf>
    <xf numFmtId="0" fontId="18" fillId="0" borderId="20" xfId="0" applyFont="1" applyBorder="1" applyAlignment="1">
      <alignment horizontal="left" vertical="center"/>
    </xf>
    <xf numFmtId="0" fontId="17" fillId="0" borderId="0" xfId="7" applyAlignment="1">
      <alignment horizontal="left"/>
    </xf>
    <xf numFmtId="0" fontId="14" fillId="0" borderId="0" xfId="7" applyFont="1" applyAlignment="1">
      <alignment horizontal="left"/>
    </xf>
    <xf numFmtId="0" fontId="18" fillId="17" borderId="0" xfId="0" applyFont="1" applyFill="1" applyAlignment="1">
      <alignment horizontal="center" vertical="center"/>
    </xf>
    <xf numFmtId="0" fontId="14" fillId="0" borderId="0" xfId="7" applyFont="1"/>
    <xf numFmtId="167" fontId="18" fillId="17" borderId="0" xfId="0" applyNumberFormat="1" applyFont="1" applyFill="1" applyAlignment="1">
      <alignment horizontal="center" vertical="center"/>
    </xf>
    <xf numFmtId="0" fontId="18" fillId="0" borderId="23" xfId="0" applyFont="1" applyBorder="1" applyAlignment="1">
      <alignment horizontal="left" vertical="center"/>
    </xf>
    <xf numFmtId="0" fontId="18" fillId="0" borderId="0" xfId="0" applyFont="1" applyAlignment="1">
      <alignment horizontal="left"/>
    </xf>
    <xf numFmtId="167" fontId="18" fillId="0" borderId="0" xfId="1" applyNumberFormat="1" applyFont="1"/>
    <xf numFmtId="168" fontId="18" fillId="0" borderId="0" xfId="2" applyNumberFormat="1" applyFont="1"/>
    <xf numFmtId="0" fontId="20" fillId="0" borderId="0" xfId="0" applyFont="1"/>
    <xf numFmtId="3" fontId="18" fillId="0" borderId="0" xfId="0" applyNumberFormat="1" applyFont="1"/>
    <xf numFmtId="0" fontId="18" fillId="0" borderId="0" xfId="0" applyFont="1" applyAlignment="1">
      <alignment horizontal="center"/>
    </xf>
    <xf numFmtId="164" fontId="18" fillId="0" borderId="0" xfId="1" applyNumberFormat="1" applyFont="1"/>
    <xf numFmtId="0" fontId="37" fillId="0" borderId="0" xfId="0" applyFont="1"/>
    <xf numFmtId="0" fontId="13" fillId="0" borderId="0" xfId="0" applyFont="1"/>
    <xf numFmtId="165" fontId="13" fillId="0" borderId="0" xfId="2" applyNumberFormat="1" applyFont="1"/>
    <xf numFmtId="0" fontId="53" fillId="0" borderId="0" xfId="0" applyFont="1"/>
    <xf numFmtId="9" fontId="13" fillId="0" borderId="0" xfId="1" applyFont="1"/>
    <xf numFmtId="0" fontId="12" fillId="0" borderId="0" xfId="0" applyFont="1"/>
    <xf numFmtId="0" fontId="11" fillId="0" borderId="0" xfId="0" applyFont="1"/>
    <xf numFmtId="0" fontId="9" fillId="0" borderId="4" xfId="7" applyFont="1" applyBorder="1" applyAlignment="1">
      <alignment horizontal="left"/>
    </xf>
    <xf numFmtId="0" fontId="9" fillId="0" borderId="0" xfId="0" applyFont="1"/>
    <xf numFmtId="0" fontId="55" fillId="0" borderId="0" xfId="0" applyFont="1"/>
    <xf numFmtId="0" fontId="7" fillId="0" borderId="0" xfId="0" applyFont="1"/>
    <xf numFmtId="0" fontId="6" fillId="0" borderId="4" xfId="7" applyFont="1" applyBorder="1" applyAlignment="1">
      <alignment horizontal="left"/>
    </xf>
    <xf numFmtId="0" fontId="18" fillId="0" borderId="0" xfId="0" applyFont="1" applyAlignment="1">
      <alignment wrapText="1"/>
    </xf>
    <xf numFmtId="1" fontId="18" fillId="0" borderId="22" xfId="2" applyNumberFormat="1" applyFont="1" applyBorder="1" applyAlignment="1">
      <alignment horizontal="center" vertical="center"/>
    </xf>
    <xf numFmtId="43" fontId="18" fillId="0" borderId="0" xfId="2" applyNumberFormat="1" applyFont="1"/>
    <xf numFmtId="2" fontId="18" fillId="0" borderId="0" xfId="1" applyNumberFormat="1" applyFont="1"/>
    <xf numFmtId="0" fontId="2" fillId="0" borderId="0" xfId="0" applyFont="1"/>
    <xf numFmtId="0" fontId="1" fillId="0" borderId="0" xfId="7" applyFont="1"/>
    <xf numFmtId="9" fontId="1" fillId="0" borderId="0" xfId="1" applyFont="1"/>
    <xf numFmtId="1" fontId="47" fillId="0" borderId="0" xfId="7" applyNumberFormat="1" applyFont="1"/>
    <xf numFmtId="0" fontId="19" fillId="0" borderId="0" xfId="0" applyFont="1" applyAlignment="1">
      <alignment horizontal="center" vertical="center"/>
    </xf>
    <xf numFmtId="0" fontId="37" fillId="18" borderId="0" xfId="0" applyFont="1" applyFill="1"/>
    <xf numFmtId="0" fontId="13" fillId="18" borderId="0" xfId="0" applyFont="1" applyFill="1"/>
    <xf numFmtId="0" fontId="10" fillId="18" borderId="0" xfId="0" applyFont="1" applyFill="1"/>
    <xf numFmtId="0" fontId="2" fillId="18" borderId="0" xfId="0" applyFont="1" applyFill="1" applyAlignment="1">
      <alignment horizontal="left" indent="2"/>
    </xf>
    <xf numFmtId="0" fontId="2" fillId="18" borderId="0" xfId="0" applyFont="1" applyFill="1" applyAlignment="1">
      <alignment horizontal="left" indent="4"/>
    </xf>
    <xf numFmtId="1" fontId="13" fillId="18" borderId="0" xfId="0" applyNumberFormat="1" applyFont="1" applyFill="1"/>
    <xf numFmtId="0" fontId="2" fillId="18" borderId="0" xfId="0" applyFont="1" applyFill="1"/>
    <xf numFmtId="0" fontId="9" fillId="18" borderId="0" xfId="0" applyFont="1" applyFill="1"/>
    <xf numFmtId="165" fontId="13" fillId="18" borderId="0" xfId="2" applyNumberFormat="1" applyFont="1" applyFill="1"/>
    <xf numFmtId="165" fontId="13" fillId="18" borderId="0" xfId="0" applyNumberFormat="1" applyFont="1" applyFill="1"/>
    <xf numFmtId="0" fontId="8" fillId="18" borderId="0" xfId="0" applyFont="1" applyFill="1"/>
    <xf numFmtId="9" fontId="13" fillId="18" borderId="0" xfId="1" applyNumberFormat="1" applyFont="1" applyFill="1"/>
    <xf numFmtId="9" fontId="13" fillId="18" borderId="0" xfId="1" applyFont="1" applyFill="1"/>
    <xf numFmtId="0" fontId="54" fillId="18" borderId="0" xfId="0" applyFont="1" applyFill="1"/>
    <xf numFmtId="165" fontId="54" fillId="18" borderId="0" xfId="0" applyNumberFormat="1" applyFont="1" applyFill="1"/>
    <xf numFmtId="0" fontId="3" fillId="18" borderId="0" xfId="0" applyFont="1" applyFill="1"/>
    <xf numFmtId="0" fontId="11" fillId="18" borderId="0" xfId="0" applyFont="1" applyFill="1"/>
    <xf numFmtId="0" fontId="53" fillId="18" borderId="0" xfId="0" applyFont="1" applyFill="1"/>
    <xf numFmtId="0" fontId="37" fillId="19" borderId="0" xfId="0" applyFont="1" applyFill="1"/>
    <xf numFmtId="0" fontId="13" fillId="19" borderId="0" xfId="0" applyFont="1" applyFill="1"/>
    <xf numFmtId="0" fontId="13" fillId="19" borderId="0" xfId="0" applyFont="1" applyFill="1" applyAlignment="1">
      <alignment horizontal="left" indent="2"/>
    </xf>
    <xf numFmtId="1" fontId="13" fillId="19" borderId="0" xfId="0" applyNumberFormat="1" applyFont="1" applyFill="1"/>
    <xf numFmtId="0" fontId="2" fillId="19" borderId="0" xfId="0" applyFont="1" applyFill="1" applyAlignment="1">
      <alignment horizontal="left" indent="2"/>
    </xf>
    <xf numFmtId="9" fontId="13" fillId="19" borderId="0" xfId="1" applyFont="1" applyFill="1"/>
    <xf numFmtId="0" fontId="5" fillId="19" borderId="0" xfId="0" applyFont="1" applyFill="1"/>
    <xf numFmtId="165" fontId="13" fillId="19" borderId="0" xfId="0" applyNumberFormat="1" applyFont="1" applyFill="1"/>
    <xf numFmtId="165" fontId="13" fillId="19" borderId="0" xfId="2" applyNumberFormat="1" applyFont="1" applyFill="1"/>
    <xf numFmtId="0" fontId="4" fillId="19" borderId="0" xfId="0" applyFont="1" applyFill="1"/>
    <xf numFmtId="10" fontId="13" fillId="19" borderId="0" xfId="1" applyNumberFormat="1" applyFont="1" applyFill="1"/>
    <xf numFmtId="0" fontId="12" fillId="19" borderId="0" xfId="0" applyFont="1" applyFill="1"/>
    <xf numFmtId="169" fontId="13" fillId="19" borderId="0" xfId="2" applyNumberFormat="1" applyFont="1" applyFill="1"/>
    <xf numFmtId="166" fontId="13" fillId="19" borderId="0" xfId="2" applyNumberFormat="1" applyFont="1" applyFill="1"/>
    <xf numFmtId="0" fontId="41" fillId="12" borderId="4" xfId="5" applyFont="1" applyBorder="1" applyAlignment="1">
      <alignment horizontal="center"/>
    </xf>
    <xf numFmtId="0" fontId="17" fillId="0" borderId="0" xfId="7" applyAlignment="1">
      <alignment horizontal="center"/>
    </xf>
    <xf numFmtId="0" fontId="38" fillId="11" borderId="5" xfId="4" applyFont="1" applyBorder="1" applyAlignment="1">
      <alignment horizontal="center"/>
    </xf>
    <xf numFmtId="0" fontId="38" fillId="11" borderId="6" xfId="4" applyFont="1" applyBorder="1" applyAlignment="1">
      <alignment horizontal="center"/>
    </xf>
    <xf numFmtId="0" fontId="40" fillId="10" borderId="4" xfId="3" applyFont="1" applyBorder="1" applyAlignment="1">
      <alignment horizontal="center"/>
    </xf>
    <xf numFmtId="0" fontId="43" fillId="0" borderId="0" xfId="7" applyFont="1" applyAlignment="1">
      <alignment horizontal="center"/>
    </xf>
    <xf numFmtId="0" fontId="38" fillId="15" borderId="7" xfId="4" applyFont="1" applyFill="1" applyBorder="1" applyAlignment="1">
      <alignment horizontal="center"/>
    </xf>
    <xf numFmtId="0" fontId="38" fillId="15" borderId="11" xfId="4" applyFont="1" applyFill="1" applyBorder="1" applyAlignment="1">
      <alignment horizontal="center"/>
    </xf>
    <xf numFmtId="0" fontId="38" fillId="15" borderId="8" xfId="4" applyFont="1" applyFill="1" applyBorder="1" applyAlignment="1">
      <alignment horizontal="center"/>
    </xf>
    <xf numFmtId="0" fontId="17" fillId="0" borderId="12" xfId="7" applyBorder="1" applyAlignment="1">
      <alignment horizontal="center"/>
    </xf>
    <xf numFmtId="0" fontId="40" fillId="10" borderId="9" xfId="3" applyFont="1" applyBorder="1" applyAlignment="1">
      <alignment horizontal="center"/>
    </xf>
    <xf numFmtId="0" fontId="40" fillId="10" borderId="15" xfId="3" applyFont="1" applyBorder="1" applyAlignment="1">
      <alignment horizontal="center"/>
    </xf>
    <xf numFmtId="0" fontId="40" fillId="10" borderId="10" xfId="3" applyFont="1" applyBorder="1" applyAlignment="1">
      <alignment horizontal="center"/>
    </xf>
    <xf numFmtId="0" fontId="37" fillId="0" borderId="0" xfId="7" applyFont="1" applyAlignment="1">
      <alignment horizontal="center" vertical="center"/>
    </xf>
    <xf numFmtId="0" fontId="39" fillId="0" borderId="26" xfId="7" applyFont="1" applyBorder="1" applyAlignment="1">
      <alignment horizontal="center" vertical="center"/>
    </xf>
    <xf numFmtId="0" fontId="39" fillId="0" borderId="27" xfId="7" applyFont="1" applyBorder="1" applyAlignment="1">
      <alignment horizontal="center" vertical="center"/>
    </xf>
    <xf numFmtId="0" fontId="39" fillId="0" borderId="28" xfId="7" applyFont="1" applyBorder="1" applyAlignment="1">
      <alignment horizontal="center" vertical="center"/>
    </xf>
    <xf numFmtId="0" fontId="39" fillId="0" borderId="29" xfId="7" applyFont="1" applyBorder="1" applyAlignment="1">
      <alignment horizontal="center" vertical="center"/>
    </xf>
    <xf numFmtId="0" fontId="18" fillId="0" borderId="20" xfId="0" applyFont="1" applyBorder="1" applyAlignment="1">
      <alignment horizontal="center" vertical="center"/>
    </xf>
    <xf numFmtId="0" fontId="49" fillId="13" borderId="30" xfId="6" applyFont="1" applyBorder="1" applyAlignment="1">
      <alignment horizontal="center" vertical="center"/>
    </xf>
    <xf numFmtId="0" fontId="49" fillId="13" borderId="31" xfId="6" applyFont="1" applyBorder="1" applyAlignment="1">
      <alignment horizontal="center" vertical="center"/>
    </xf>
    <xf numFmtId="0" fontId="49" fillId="13" borderId="32" xfId="6" applyFont="1" applyBorder="1" applyAlignment="1">
      <alignment horizontal="center" vertical="center"/>
    </xf>
    <xf numFmtId="0" fontId="51" fillId="16" borderId="33" xfId="9" applyFont="1" applyBorder="1" applyAlignment="1">
      <alignment horizontal="center" vertical="center"/>
    </xf>
    <xf numFmtId="0" fontId="51" fillId="16" borderId="31" xfId="9" applyFont="1" applyBorder="1" applyAlignment="1">
      <alignment horizontal="center" vertical="center"/>
    </xf>
    <xf numFmtId="0" fontId="51" fillId="16" borderId="32" xfId="9" applyFont="1" applyBorder="1" applyAlignment="1">
      <alignment horizontal="center" vertical="center"/>
    </xf>
    <xf numFmtId="0" fontId="50" fillId="16" borderId="34" xfId="9" applyFont="1" applyBorder="1" applyAlignment="1">
      <alignment horizontal="center" vertical="center"/>
    </xf>
    <xf numFmtId="0" fontId="50" fillId="16" borderId="35" xfId="9" applyFont="1" applyBorder="1" applyAlignment="1">
      <alignment horizontal="center" vertical="center"/>
    </xf>
    <xf numFmtId="0" fontId="50" fillId="16" borderId="36" xfId="9" applyFont="1" applyBorder="1" applyAlignment="1">
      <alignment horizontal="center" vertical="center"/>
    </xf>
    <xf numFmtId="0" fontId="52" fillId="0" borderId="19" xfId="0" applyFont="1" applyBorder="1" applyAlignment="1">
      <alignment horizontal="center" vertical="center"/>
    </xf>
    <xf numFmtId="0" fontId="52" fillId="0" borderId="0" xfId="0" applyFont="1" applyAlignment="1">
      <alignment horizontal="center" vertical="center"/>
    </xf>
    <xf numFmtId="0" fontId="19" fillId="0" borderId="19" xfId="0" applyFont="1" applyBorder="1" applyAlignment="1">
      <alignment horizontal="center"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45" fillId="13" borderId="16" xfId="6" applyFont="1" applyBorder="1" applyAlignment="1">
      <alignment horizontal="center" vertical="center"/>
    </xf>
    <xf numFmtId="0" fontId="45" fillId="13" borderId="17" xfId="6" applyFont="1" applyBorder="1" applyAlignment="1">
      <alignment horizontal="center" vertical="center"/>
    </xf>
    <xf numFmtId="0" fontId="45" fillId="13" borderId="18" xfId="6" applyFont="1" applyBorder="1" applyAlignment="1">
      <alignment horizontal="center" vertical="center"/>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cellXfs>
  <cellStyles count="10">
    <cellStyle name="Bad" xfId="4" builtinId="27"/>
    <cellStyle name="Calculation" xfId="9" builtinId="22"/>
    <cellStyle name="Comma" xfId="2" builtinId="3"/>
    <cellStyle name="Good" xfId="3" builtinId="26"/>
    <cellStyle name="Input" xfId="6" builtinId="20"/>
    <cellStyle name="Neutral" xfId="5" builtinId="28"/>
    <cellStyle name="Normal" xfId="0" builtinId="0"/>
    <cellStyle name="Normal 2" xfId="7" xr:uid="{00000000-0005-0000-0000-000007000000}"/>
    <cellStyle name="Percent" xfId="1" builtinId="5"/>
    <cellStyle name="Percent 2" xfId="8" xr:uid="{00000000-0005-0000-0000-000009000000}"/>
  </cellStyles>
  <dxfs count="0"/>
  <tableStyles count="0" defaultTableStyle="TableStyleMedium2" defaultPivotStyle="PivotStyleLight16"/>
  <colors>
    <mruColors>
      <color rgb="FFCDF2FF"/>
      <color rgb="FFABE9FF"/>
      <color rgb="FFFFFFFF"/>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 = '1.0' encoding = 'UTF-8' standalone = 'yes'?>
<Relationships xmlns="http://schemas.openxmlformats.org/package/2006/relationships">
   <Relationship Id="rId1" Type="http://schemas.openxmlformats.org/officeDocument/2006/relationships/worksheet" Target="worksheets/sheet1.xml"/>
   <Relationship Id="rId10" Type="http://schemas.openxmlformats.org/officeDocument/2006/relationships/externalLink" Target="externalLinks/externalLink1.xml"/>
   <Relationship Id="rId11" Type="http://schemas.openxmlformats.org/officeDocument/2006/relationships/theme" Target="theme/theme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ctrlProps/ctrlProp1.xml><?xml version="1.0" encoding="utf-8"?>
<formControlPr xmlns="http://schemas.microsoft.com/office/spreadsheetml/2009/9/main" objectType="Scroll" dx="22" fmlaLink="$E$10" horiz="1" max="13" page="10" val="3"/>
</file>

<file path=xl/drawings/_rels/drawing3.xml.rels><?xml version = '1.0' encoding = 'UTF-8' standalone = 'yes'?>
<Relationships xmlns="http://schemas.openxmlformats.org/package/2006/relationships">
   <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 = '1.0' encoding = 'UTF-8' standalone = 'yes'?>
<Relationships xmlns="http://schemas.openxmlformats.org/package/2006/relationships">
   <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dr:twoCellAnchor>
    <xdr:from>
      <xdr:col>0</xdr:col>
      <xdr:colOff>85724</xdr:colOff>
      <xdr:row>1</xdr:row>
      <xdr:rowOff>149225</xdr:rowOff>
    </xdr:from>
    <xdr:to>
      <xdr:col>14</xdr:col>
      <xdr:colOff>19049</xdr:colOff>
      <xdr:row>5</xdr:row>
      <xdr:rowOff>133351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4" y="349250"/>
          <a:ext cx="8486775" cy="784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Synergies in the Co-location of Food Manufacturing and Biorefining:  Supplementary Information</a:t>
          </a:r>
        </a:p>
        <a:p>
          <a:endParaRPr lang="en-GB" sz="1100" b="0"/>
        </a:p>
        <a:p>
          <a:r>
            <a:rPr lang="en-GB" sz="1100" b="0"/>
            <a:t>The sheets in this file</a:t>
          </a:r>
          <a:r>
            <a:rPr lang="en-GB" sz="1100" b="0" baseline="0"/>
            <a:t> should be self-explanatory.  Not all the data has been used in the calculations which produced the final figures in the paper.</a:t>
          </a:r>
          <a:endParaRPr lang="en-GB"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57149</xdr:colOff>
      <xdr:row>5</xdr:row>
      <xdr:rowOff>38100</xdr:rowOff>
    </xdr:from>
    <xdr:to>
      <xdr:col>19</xdr:col>
      <xdr:colOff>314324</xdr:colOff>
      <xdr:row>9</xdr:row>
      <xdr:rowOff>47625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3144499" y="1438275"/>
          <a:ext cx="26955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Coffee</a:t>
          </a:r>
          <a:r>
            <a:rPr lang="en-GB" sz="1100" baseline="0"/>
            <a:t> silverskin:  </a:t>
          </a:r>
          <a:r>
            <a:rPr lang="en-GB" sz="1100"/>
            <a:t>"A</a:t>
          </a:r>
          <a:r>
            <a:rPr lang="en-GB" sz="1100" baseline="0"/>
            <a:t> </a:t>
          </a:r>
          <a:r>
            <a:rPr lang="en-GB" sz="1100"/>
            <a:t>thin tegument of the outer layer of green coffee beans obtained as a by-product of the roasting process and represents about 4.2 % (w/w) of coffee beans."  This is 4.7% of the completely dry roasted bean.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48</xdr:row>
      <xdr:rowOff>9525</xdr:rowOff>
    </xdr:from>
    <xdr:to>
      <xdr:col>8</xdr:col>
      <xdr:colOff>326056</xdr:colOff>
      <xdr:row>55</xdr:row>
      <xdr:rowOff>119121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53525"/>
          <a:ext cx="6755431" cy="1443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447675</xdr:colOff>
      <xdr:row>47</xdr:row>
      <xdr:rowOff>152400</xdr:rowOff>
    </xdr:from>
    <xdr:to>
      <xdr:col>16</xdr:col>
      <xdr:colOff>247650</xdr:colOff>
      <xdr:row>62</xdr:row>
      <xdr:rowOff>68774</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0050" y="9105900"/>
          <a:ext cx="3457575" cy="277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530677</xdr:colOff>
      <xdr:row>37</xdr:row>
      <xdr:rowOff>67234</xdr:rowOff>
    </xdr:from>
    <xdr:to>
      <xdr:col>6</xdr:col>
      <xdr:colOff>1152519</xdr:colOff>
      <xdr:row>47</xdr:row>
      <xdr:rowOff>179291</xdr:rowOff>
    </xdr:to>
    <xdr:sp macro="" textlink="">
      <xdr:nvSpPr>
        <xdr:cNvPr id="137" name="Bent-Up Arrow 136">
          <a:extLst>
            <a:ext uri="{FF2B5EF4-FFF2-40B4-BE49-F238E27FC236}">
              <a16:creationId xmlns:a16="http://schemas.microsoft.com/office/drawing/2014/main" id="{00000000-0008-0000-0500-000089000000}"/>
            </a:ext>
          </a:extLst>
        </xdr:cNvPr>
        <xdr:cNvSpPr/>
      </xdr:nvSpPr>
      <xdr:spPr>
        <a:xfrm rot="10800000">
          <a:off x="4041320" y="6136020"/>
          <a:ext cx="4186913" cy="2153128"/>
        </a:xfrm>
        <a:prstGeom prst="bentUpArrow">
          <a:avLst>
            <a:gd name="adj1" fmla="val 5304"/>
            <a:gd name="adj2" fmla="val 5722"/>
            <a:gd name="adj3" fmla="val 9071"/>
          </a:avLst>
        </a:prstGeom>
        <a:solidFill>
          <a:srgbClr val="C0504D">
            <a:alpha val="5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0</xdr:colOff>
      <xdr:row>23</xdr:row>
      <xdr:rowOff>217713</xdr:rowOff>
    </xdr:from>
    <xdr:to>
      <xdr:col>3</xdr:col>
      <xdr:colOff>9525</xdr:colOff>
      <xdr:row>23</xdr:row>
      <xdr:rowOff>217713</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2340429" y="2735034"/>
          <a:ext cx="1179739"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561975</xdr:colOff>
      <xdr:row>21</xdr:row>
      <xdr:rowOff>95249</xdr:rowOff>
    </xdr:from>
    <xdr:to>
      <xdr:col>2</xdr:col>
      <xdr:colOff>561975</xdr:colOff>
      <xdr:row>23</xdr:row>
      <xdr:rowOff>180974</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2902404" y="2204356"/>
          <a:ext cx="0" cy="4939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22</xdr:row>
      <xdr:rowOff>0</xdr:rowOff>
    </xdr:from>
    <xdr:to>
      <xdr:col>3</xdr:col>
      <xdr:colOff>590550</xdr:colOff>
      <xdr:row>23</xdr:row>
      <xdr:rowOff>0</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a:off x="4105275" y="2266950"/>
          <a:ext cx="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23</xdr:row>
      <xdr:rowOff>408215</xdr:rowOff>
    </xdr:from>
    <xdr:to>
      <xdr:col>3</xdr:col>
      <xdr:colOff>571500</xdr:colOff>
      <xdr:row>30</xdr:row>
      <xdr:rowOff>189525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V="1">
          <a:off x="4082143" y="2925536"/>
          <a:ext cx="0" cy="829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566209</xdr:colOff>
      <xdr:row>32</xdr:row>
      <xdr:rowOff>1056</xdr:rowOff>
    </xdr:from>
    <xdr:to>
      <xdr:col>3</xdr:col>
      <xdr:colOff>566209</xdr:colOff>
      <xdr:row>35</xdr:row>
      <xdr:rowOff>9806</xdr:rowOff>
    </xdr:to>
    <xdr:cxnSp macro="">
      <xdr:nvCxnSpPr>
        <xdr:cNvPr id="6" name="Straight Arrow Connector 5">
          <a:extLst>
            <a:ext uri="{FF2B5EF4-FFF2-40B4-BE49-F238E27FC236}">
              <a16:creationId xmlns:a16="http://schemas.microsoft.com/office/drawing/2014/main" id="{00000000-0008-0000-0500-000006000000}"/>
            </a:ext>
          </a:extLst>
        </xdr:cNvPr>
        <xdr:cNvCxnSpPr/>
      </xdr:nvCxnSpPr>
      <xdr:spPr>
        <a:xfrm flipV="1">
          <a:off x="4076852" y="3593342"/>
          <a:ext cx="0" cy="621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759883</xdr:colOff>
      <xdr:row>33</xdr:row>
      <xdr:rowOff>115358</xdr:rowOff>
    </xdr:from>
    <xdr:to>
      <xdr:col>4</xdr:col>
      <xdr:colOff>305133</xdr:colOff>
      <xdr:row>33</xdr:row>
      <xdr:rowOff>115359</xdr:rowOff>
    </xdr:to>
    <xdr:cxnSp macro="">
      <xdr:nvCxnSpPr>
        <xdr:cNvPr id="7" name="Straight Connector 6">
          <a:extLst>
            <a:ext uri="{FF2B5EF4-FFF2-40B4-BE49-F238E27FC236}">
              <a16:creationId xmlns:a16="http://schemas.microsoft.com/office/drawing/2014/main" id="{00000000-0008-0000-0500-000007000000}"/>
            </a:ext>
          </a:extLst>
        </xdr:cNvPr>
        <xdr:cNvCxnSpPr/>
      </xdr:nvCxnSpPr>
      <xdr:spPr>
        <a:xfrm>
          <a:off x="4274608" y="3858683"/>
          <a:ext cx="716825" cy="1"/>
        </a:xfrm>
        <a:prstGeom prst="line">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592231</xdr:colOff>
      <xdr:row>33</xdr:row>
      <xdr:rowOff>104775</xdr:rowOff>
    </xdr:from>
    <xdr:to>
      <xdr:col>4</xdr:col>
      <xdr:colOff>880231</xdr:colOff>
      <xdr:row>33</xdr:row>
      <xdr:rowOff>104775</xdr:rowOff>
    </xdr:to>
    <xdr:cxnSp macro="">
      <xdr:nvCxnSpPr>
        <xdr:cNvPr id="8" name="Straight Connector 7">
          <a:extLst>
            <a:ext uri="{FF2B5EF4-FFF2-40B4-BE49-F238E27FC236}">
              <a16:creationId xmlns:a16="http://schemas.microsoft.com/office/drawing/2014/main" id="{00000000-0008-0000-0500-000008000000}"/>
            </a:ext>
          </a:extLst>
        </xdr:cNvPr>
        <xdr:cNvCxnSpPr/>
      </xdr:nvCxnSpPr>
      <xdr:spPr>
        <a:xfrm flipH="1">
          <a:off x="5298702" y="7601510"/>
          <a:ext cx="288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800100</xdr:colOff>
      <xdr:row>23</xdr:row>
      <xdr:rowOff>200025</xdr:rowOff>
    </xdr:from>
    <xdr:to>
      <xdr:col>7</xdr:col>
      <xdr:colOff>9525</xdr:colOff>
      <xdr:row>23</xdr:row>
      <xdr:rowOff>200025</xdr:rowOff>
    </xdr:to>
    <xdr:cxnSp macro="">
      <xdr:nvCxnSpPr>
        <xdr:cNvPr id="9" name="Straight Connector 8">
          <a:extLst>
            <a:ext uri="{FF2B5EF4-FFF2-40B4-BE49-F238E27FC236}">
              <a16:creationId xmlns:a16="http://schemas.microsoft.com/office/drawing/2014/main" id="{00000000-0008-0000-0500-000009000000}"/>
            </a:ext>
          </a:extLst>
        </xdr:cNvPr>
        <xdr:cNvCxnSpPr/>
      </xdr:nvCxnSpPr>
      <xdr:spPr>
        <a:xfrm flipH="1">
          <a:off x="7886700" y="2695575"/>
          <a:ext cx="381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1143000</xdr:colOff>
      <xdr:row>23</xdr:row>
      <xdr:rowOff>217713</xdr:rowOff>
    </xdr:from>
    <xdr:to>
      <xdr:col>4</xdr:col>
      <xdr:colOff>1152525</xdr:colOff>
      <xdr:row>23</xdr:row>
      <xdr:rowOff>217713</xdr:rowOff>
    </xdr:to>
    <xdr:cxnSp macro="">
      <xdr:nvCxnSpPr>
        <xdr:cNvPr id="11" name="Straight Connector 10">
          <a:extLst>
            <a:ext uri="{FF2B5EF4-FFF2-40B4-BE49-F238E27FC236}">
              <a16:creationId xmlns:a16="http://schemas.microsoft.com/office/drawing/2014/main" id="{00000000-0008-0000-0500-00000B000000}"/>
            </a:ext>
          </a:extLst>
        </xdr:cNvPr>
        <xdr:cNvCxnSpPr/>
      </xdr:nvCxnSpPr>
      <xdr:spPr>
        <a:xfrm>
          <a:off x="4653643" y="2735034"/>
          <a:ext cx="1179739"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57</xdr:row>
      <xdr:rowOff>107156</xdr:rowOff>
    </xdr:from>
    <xdr:to>
      <xdr:col>12</xdr:col>
      <xdr:colOff>607219</xdr:colOff>
      <xdr:row>57</xdr:row>
      <xdr:rowOff>107156</xdr:rowOff>
    </xdr:to>
    <xdr:cxnSp macro="">
      <xdr:nvCxnSpPr>
        <xdr:cNvPr id="24" name="Straight Connector 23">
          <a:extLst>
            <a:ext uri="{FF2B5EF4-FFF2-40B4-BE49-F238E27FC236}">
              <a16:creationId xmlns:a16="http://schemas.microsoft.com/office/drawing/2014/main" id="{00000000-0008-0000-0500-000018000000}"/>
            </a:ext>
          </a:extLst>
        </xdr:cNvPr>
        <xdr:cNvCxnSpPr/>
      </xdr:nvCxnSpPr>
      <xdr:spPr>
        <a:xfrm>
          <a:off x="14058900" y="8841581"/>
          <a:ext cx="6072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4761</xdr:colOff>
      <xdr:row>56</xdr:row>
      <xdr:rowOff>85229</xdr:rowOff>
    </xdr:from>
    <xdr:to>
      <xdr:col>12</xdr:col>
      <xdr:colOff>659604</xdr:colOff>
      <xdr:row>58</xdr:row>
      <xdr:rowOff>168575</xdr:rowOff>
    </xdr:to>
    <xdr:pic>
      <xdr:nvPicPr>
        <xdr:cNvPr id="30" name="Picture 29">
          <a:extLst>
            <a:ext uri="{FF2B5EF4-FFF2-40B4-BE49-F238E27FC236}">
              <a16:creationId xmlns:a16="http://schemas.microsoft.com/office/drawing/2014/main" id="{00000000-0008-0000-0500-00001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08" b="27365"/>
        <a:stretch/>
      </xdr:blipFill>
      <xdr:spPr bwMode="auto">
        <a:xfrm>
          <a:off x="14167075" y="10138186"/>
          <a:ext cx="654843" cy="507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889267</xdr:colOff>
      <xdr:row>26</xdr:row>
      <xdr:rowOff>194261</xdr:rowOff>
    </xdr:from>
    <xdr:to>
      <xdr:col>4</xdr:col>
      <xdr:colOff>889267</xdr:colOff>
      <xdr:row>33</xdr:row>
      <xdr:rowOff>104879</xdr:rowOff>
    </xdr:to>
    <xdr:cxnSp macro="">
      <xdr:nvCxnSpPr>
        <xdr:cNvPr id="35" name="Straight Connector 34">
          <a:extLst>
            <a:ext uri="{FF2B5EF4-FFF2-40B4-BE49-F238E27FC236}">
              <a16:creationId xmlns:a16="http://schemas.microsoft.com/office/drawing/2014/main" id="{00000000-0008-0000-0500-000023000000}"/>
            </a:ext>
          </a:extLst>
        </xdr:cNvPr>
        <xdr:cNvCxnSpPr/>
      </xdr:nvCxnSpPr>
      <xdr:spPr>
        <a:xfrm>
          <a:off x="5595738" y="5819614"/>
          <a:ext cx="0" cy="1782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58</xdr:row>
      <xdr:rowOff>19050</xdr:rowOff>
    </xdr:from>
    <xdr:to>
      <xdr:col>9</xdr:col>
      <xdr:colOff>581025</xdr:colOff>
      <xdr:row>60</xdr:row>
      <xdr:rowOff>171450</xdr:rowOff>
    </xdr:to>
    <xdr:cxnSp macro="">
      <xdr:nvCxnSpPr>
        <xdr:cNvPr id="42" name="Straight Connector 41">
          <a:extLst>
            <a:ext uri="{FF2B5EF4-FFF2-40B4-BE49-F238E27FC236}">
              <a16:creationId xmlns:a16="http://schemas.microsoft.com/office/drawing/2014/main" id="{00000000-0008-0000-0500-00002A000000}"/>
            </a:ext>
          </a:extLst>
        </xdr:cNvPr>
        <xdr:cNvCxnSpPr/>
      </xdr:nvCxnSpPr>
      <xdr:spPr>
        <a:xfrm>
          <a:off x="11182350" y="10410825"/>
          <a:ext cx="0" cy="561975"/>
        </a:xfrm>
        <a:prstGeom prst="line">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276225</xdr:colOff>
      <xdr:row>32</xdr:row>
      <xdr:rowOff>142875</xdr:rowOff>
    </xdr:from>
    <xdr:to>
      <xdr:col>4</xdr:col>
      <xdr:colOff>638175</xdr:colOff>
      <xdr:row>34</xdr:row>
      <xdr:rowOff>61649</xdr:rowOff>
    </xdr:to>
    <xdr:pic>
      <xdr:nvPicPr>
        <xdr:cNvPr id="43" name="Picture 42">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62525" y="3686175"/>
          <a:ext cx="361950" cy="31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394759</xdr:colOff>
      <xdr:row>32</xdr:row>
      <xdr:rowOff>151340</xdr:rowOff>
    </xdr:from>
    <xdr:to>
      <xdr:col>3</xdr:col>
      <xdr:colOff>756709</xdr:colOff>
      <xdr:row>34</xdr:row>
      <xdr:rowOff>67996</xdr:rowOff>
    </xdr:to>
    <xdr:pic>
      <xdr:nvPicPr>
        <xdr:cNvPr id="44" name="Picture 43">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402" y="3743626"/>
          <a:ext cx="361950" cy="324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457200</xdr:colOff>
      <xdr:row>19</xdr:row>
      <xdr:rowOff>161925</xdr:rowOff>
    </xdr:from>
    <xdr:to>
      <xdr:col>5</xdr:col>
      <xdr:colOff>756188</xdr:colOff>
      <xdr:row>22</xdr:row>
      <xdr:rowOff>192181</xdr:rowOff>
    </xdr:to>
    <xdr:pic>
      <xdr:nvPicPr>
        <xdr:cNvPr id="45" name="Picture 44">
          <a:extLst>
            <a:ext uri="{FF2B5EF4-FFF2-40B4-BE49-F238E27FC236}">
              <a16:creationId xmlns:a16="http://schemas.microsoft.com/office/drawing/2014/main" id="{00000000-0008-0000-0500-00002D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088" b="15385"/>
        <a:stretch/>
      </xdr:blipFill>
      <xdr:spPr bwMode="auto">
        <a:xfrm>
          <a:off x="6315075" y="1828800"/>
          <a:ext cx="298988"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624568</xdr:colOff>
      <xdr:row>20</xdr:row>
      <xdr:rowOff>69396</xdr:rowOff>
    </xdr:from>
    <xdr:to>
      <xdr:col>6</xdr:col>
      <xdr:colOff>624568</xdr:colOff>
      <xdr:row>22</xdr:row>
      <xdr:rowOff>164646</xdr:rowOff>
    </xdr:to>
    <xdr:cxnSp macro="">
      <xdr:nvCxnSpPr>
        <xdr:cNvPr id="46" name="Straight Connector 45">
          <a:extLst>
            <a:ext uri="{FF2B5EF4-FFF2-40B4-BE49-F238E27FC236}">
              <a16:creationId xmlns:a16="http://schemas.microsoft.com/office/drawing/2014/main" id="{00000000-0008-0000-0500-00002E000000}"/>
            </a:ext>
          </a:extLst>
        </xdr:cNvPr>
        <xdr:cNvCxnSpPr/>
      </xdr:nvCxnSpPr>
      <xdr:spPr>
        <a:xfrm>
          <a:off x="7700282" y="1974396"/>
          <a:ext cx="0" cy="5034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438150</xdr:colOff>
      <xdr:row>23</xdr:row>
      <xdr:rowOff>28575</xdr:rowOff>
    </xdr:from>
    <xdr:to>
      <xdr:col>6</xdr:col>
      <xdr:colOff>800100</xdr:colOff>
      <xdr:row>23</xdr:row>
      <xdr:rowOff>350043</xdr:rowOff>
    </xdr:to>
    <xdr:pic>
      <xdr:nvPicPr>
        <xdr:cNvPr id="47" name="Picture 46">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0" y="2524125"/>
          <a:ext cx="361950" cy="321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4762</xdr:colOff>
      <xdr:row>56</xdr:row>
      <xdr:rowOff>109539</xdr:rowOff>
    </xdr:from>
    <xdr:to>
      <xdr:col>14</xdr:col>
      <xdr:colOff>1164430</xdr:colOff>
      <xdr:row>56</xdr:row>
      <xdr:rowOff>109539</xdr:rowOff>
    </xdr:to>
    <xdr:cxnSp macro="">
      <xdr:nvCxnSpPr>
        <xdr:cNvPr id="52" name="Straight Arrow Connector 51">
          <a:extLst>
            <a:ext uri="{FF2B5EF4-FFF2-40B4-BE49-F238E27FC236}">
              <a16:creationId xmlns:a16="http://schemas.microsoft.com/office/drawing/2014/main" id="{00000000-0008-0000-0500-000034000000}"/>
            </a:ext>
          </a:extLst>
        </xdr:cNvPr>
        <xdr:cNvCxnSpPr/>
      </xdr:nvCxnSpPr>
      <xdr:spPr>
        <a:xfrm>
          <a:off x="16406812" y="8634414"/>
          <a:ext cx="115966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56</xdr:row>
      <xdr:rowOff>104776</xdr:rowOff>
    </xdr:from>
    <xdr:to>
      <xdr:col>23</xdr:col>
      <xdr:colOff>0</xdr:colOff>
      <xdr:row>56</xdr:row>
      <xdr:rowOff>104776</xdr:rowOff>
    </xdr:to>
    <xdr:cxnSp macro="">
      <xdr:nvCxnSpPr>
        <xdr:cNvPr id="54" name="Straight Arrow Connector 53">
          <a:extLst>
            <a:ext uri="{FF2B5EF4-FFF2-40B4-BE49-F238E27FC236}">
              <a16:creationId xmlns:a16="http://schemas.microsoft.com/office/drawing/2014/main" id="{00000000-0008-0000-0500-000036000000}"/>
            </a:ext>
          </a:extLst>
        </xdr:cNvPr>
        <xdr:cNvCxnSpPr/>
      </xdr:nvCxnSpPr>
      <xdr:spPr>
        <a:xfrm>
          <a:off x="22669500" y="10066805"/>
          <a:ext cx="2095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609600</xdr:colOff>
      <xdr:row>57</xdr:row>
      <xdr:rowOff>9525</xdr:rowOff>
    </xdr:from>
    <xdr:to>
      <xdr:col>29</xdr:col>
      <xdr:colOff>609600</xdr:colOff>
      <xdr:row>58</xdr:row>
      <xdr:rowOff>195975</xdr:rowOff>
    </xdr:to>
    <xdr:cxnSp macro="">
      <xdr:nvCxnSpPr>
        <xdr:cNvPr id="58" name="Straight Arrow Connector 57">
          <a:extLst>
            <a:ext uri="{FF2B5EF4-FFF2-40B4-BE49-F238E27FC236}">
              <a16:creationId xmlns:a16="http://schemas.microsoft.com/office/drawing/2014/main" id="{00000000-0008-0000-0500-00003A000000}"/>
            </a:ext>
          </a:extLst>
        </xdr:cNvPr>
        <xdr:cNvCxnSpPr/>
      </xdr:nvCxnSpPr>
      <xdr:spPr>
        <a:xfrm>
          <a:off x="29898975" y="8743950"/>
          <a:ext cx="0" cy="39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xdr:colOff>
      <xdr:row>56</xdr:row>
      <xdr:rowOff>100014</xdr:rowOff>
    </xdr:from>
    <xdr:to>
      <xdr:col>31</xdr:col>
      <xdr:colOff>2380</xdr:colOff>
      <xdr:row>56</xdr:row>
      <xdr:rowOff>100014</xdr:rowOff>
    </xdr:to>
    <xdr:cxnSp macro="">
      <xdr:nvCxnSpPr>
        <xdr:cNvPr id="59" name="Straight Arrow Connector 58">
          <a:extLst>
            <a:ext uri="{FF2B5EF4-FFF2-40B4-BE49-F238E27FC236}">
              <a16:creationId xmlns:a16="http://schemas.microsoft.com/office/drawing/2014/main" id="{00000000-0008-0000-0500-00003B000000}"/>
            </a:ext>
          </a:extLst>
        </xdr:cNvPr>
        <xdr:cNvCxnSpPr/>
      </xdr:nvCxnSpPr>
      <xdr:spPr>
        <a:xfrm>
          <a:off x="30475237" y="8624889"/>
          <a:ext cx="115966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1152525</xdr:colOff>
      <xdr:row>14</xdr:row>
      <xdr:rowOff>190500</xdr:rowOff>
    </xdr:from>
    <xdr:to>
      <xdr:col>9</xdr:col>
      <xdr:colOff>9525</xdr:colOff>
      <xdr:row>40</xdr:row>
      <xdr:rowOff>0</xdr:rowOff>
    </xdr:to>
    <xdr:sp macro="" textlink="">
      <xdr:nvSpPr>
        <xdr:cNvPr id="73" name="Rectangle 72">
          <a:extLst>
            <a:ext uri="{FF2B5EF4-FFF2-40B4-BE49-F238E27FC236}">
              <a16:creationId xmlns:a16="http://schemas.microsoft.com/office/drawing/2014/main" id="{00000000-0008-0000-0500-000049000000}"/>
            </a:ext>
          </a:extLst>
        </xdr:cNvPr>
        <xdr:cNvSpPr/>
      </xdr:nvSpPr>
      <xdr:spPr>
        <a:xfrm>
          <a:off x="1152525" y="790575"/>
          <a:ext cx="9458325" cy="58007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409575</xdr:colOff>
      <xdr:row>56</xdr:row>
      <xdr:rowOff>66675</xdr:rowOff>
    </xdr:from>
    <xdr:to>
      <xdr:col>3</xdr:col>
      <xdr:colOff>769270</xdr:colOff>
      <xdr:row>57</xdr:row>
      <xdr:rowOff>174146</xdr:rowOff>
    </xdr:to>
    <xdr:pic>
      <xdr:nvPicPr>
        <xdr:cNvPr id="77" name="Picture 76">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4"/>
        <a:stretch>
          <a:fillRect/>
        </a:stretch>
      </xdr:blipFill>
      <xdr:spPr>
        <a:xfrm>
          <a:off x="3924300" y="8591550"/>
          <a:ext cx="359695" cy="317020"/>
        </a:xfrm>
        <a:prstGeom prst="rect">
          <a:avLst/>
        </a:prstGeom>
      </xdr:spPr>
    </xdr:pic>
    <xdr:clientData/>
  </xdr:twoCellAnchor>
  <xdr:twoCellAnchor>
    <xdr:from>
      <xdr:col>24</xdr:col>
      <xdr:colOff>0</xdr:colOff>
      <xdr:row>56</xdr:row>
      <xdr:rowOff>110598</xdr:rowOff>
    </xdr:from>
    <xdr:to>
      <xdr:col>24</xdr:col>
      <xdr:colOff>324000</xdr:colOff>
      <xdr:row>56</xdr:row>
      <xdr:rowOff>110598</xdr:rowOff>
    </xdr:to>
    <xdr:cxnSp macro="">
      <xdr:nvCxnSpPr>
        <xdr:cNvPr id="90" name="Straight Arrow Connector 89">
          <a:extLst>
            <a:ext uri="{FF2B5EF4-FFF2-40B4-BE49-F238E27FC236}">
              <a16:creationId xmlns:a16="http://schemas.microsoft.com/office/drawing/2014/main" id="{00000000-0008-0000-0500-00005A000000}"/>
            </a:ext>
          </a:extLst>
        </xdr:cNvPr>
        <xdr:cNvCxnSpPr/>
      </xdr:nvCxnSpPr>
      <xdr:spPr>
        <a:xfrm>
          <a:off x="26445882" y="12336216"/>
          <a:ext cx="32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2646</xdr:colOff>
      <xdr:row>56</xdr:row>
      <xdr:rowOff>110598</xdr:rowOff>
    </xdr:from>
    <xdr:to>
      <xdr:col>28</xdr:col>
      <xdr:colOff>1165489</xdr:colOff>
      <xdr:row>56</xdr:row>
      <xdr:rowOff>110598</xdr:rowOff>
    </xdr:to>
    <xdr:cxnSp macro="">
      <xdr:nvCxnSpPr>
        <xdr:cNvPr id="91" name="Straight Arrow Connector 90">
          <a:extLst>
            <a:ext uri="{FF2B5EF4-FFF2-40B4-BE49-F238E27FC236}">
              <a16:creationId xmlns:a16="http://schemas.microsoft.com/office/drawing/2014/main" id="{00000000-0008-0000-0500-00005B000000}"/>
            </a:ext>
          </a:extLst>
        </xdr:cNvPr>
        <xdr:cNvCxnSpPr/>
      </xdr:nvCxnSpPr>
      <xdr:spPr>
        <a:xfrm>
          <a:off x="28120446" y="8635473"/>
          <a:ext cx="116284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592667</xdr:colOff>
      <xdr:row>59</xdr:row>
      <xdr:rowOff>201084</xdr:rowOff>
    </xdr:from>
    <xdr:to>
      <xdr:col>17</xdr:col>
      <xdr:colOff>592667</xdr:colOff>
      <xdr:row>61</xdr:row>
      <xdr:rowOff>0</xdr:rowOff>
    </xdr:to>
    <xdr:cxnSp macro="">
      <xdr:nvCxnSpPr>
        <xdr:cNvPr id="103" name="Straight Arrow Connector 102">
          <a:extLst>
            <a:ext uri="{FF2B5EF4-FFF2-40B4-BE49-F238E27FC236}">
              <a16:creationId xmlns:a16="http://schemas.microsoft.com/office/drawing/2014/main" id="{00000000-0008-0000-0500-000067000000}"/>
            </a:ext>
          </a:extLst>
        </xdr:cNvPr>
        <xdr:cNvCxnSpPr/>
      </xdr:nvCxnSpPr>
      <xdr:spPr>
        <a:xfrm>
          <a:off x="20509442" y="9354609"/>
          <a:ext cx="0" cy="2180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592667</xdr:colOff>
      <xdr:row>62</xdr:row>
      <xdr:rowOff>190500</xdr:rowOff>
    </xdr:from>
    <xdr:to>
      <xdr:col>17</xdr:col>
      <xdr:colOff>592667</xdr:colOff>
      <xdr:row>64</xdr:row>
      <xdr:rowOff>0</xdr:rowOff>
    </xdr:to>
    <xdr:cxnSp macro="">
      <xdr:nvCxnSpPr>
        <xdr:cNvPr id="104" name="Straight Arrow Connector 103">
          <a:extLst>
            <a:ext uri="{FF2B5EF4-FFF2-40B4-BE49-F238E27FC236}">
              <a16:creationId xmlns:a16="http://schemas.microsoft.com/office/drawing/2014/main" id="{00000000-0008-0000-0500-000068000000}"/>
            </a:ext>
          </a:extLst>
        </xdr:cNvPr>
        <xdr:cNvCxnSpPr/>
      </xdr:nvCxnSpPr>
      <xdr:spPr>
        <a:xfrm>
          <a:off x="20509442" y="9972675"/>
          <a:ext cx="0"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592667</xdr:colOff>
      <xdr:row>66</xdr:row>
      <xdr:rowOff>0</xdr:rowOff>
    </xdr:from>
    <xdr:to>
      <xdr:col>17</xdr:col>
      <xdr:colOff>592667</xdr:colOff>
      <xdr:row>67</xdr:row>
      <xdr:rowOff>21167</xdr:rowOff>
    </xdr:to>
    <xdr:cxnSp macro="">
      <xdr:nvCxnSpPr>
        <xdr:cNvPr id="105" name="Straight Arrow Connector 104">
          <a:extLst>
            <a:ext uri="{FF2B5EF4-FFF2-40B4-BE49-F238E27FC236}">
              <a16:creationId xmlns:a16="http://schemas.microsoft.com/office/drawing/2014/main" id="{00000000-0008-0000-0500-000069000000}"/>
            </a:ext>
          </a:extLst>
        </xdr:cNvPr>
        <xdr:cNvCxnSpPr/>
      </xdr:nvCxnSpPr>
      <xdr:spPr>
        <a:xfrm>
          <a:off x="20509442" y="10601325"/>
          <a:ext cx="0" cy="2211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603250</xdr:colOff>
      <xdr:row>22</xdr:row>
      <xdr:rowOff>0</xdr:rowOff>
    </xdr:from>
    <xdr:to>
      <xdr:col>1</xdr:col>
      <xdr:colOff>603251</xdr:colOff>
      <xdr:row>23</xdr:row>
      <xdr:rowOff>4334</xdr:rowOff>
    </xdr:to>
    <xdr:cxnSp macro="">
      <xdr:nvCxnSpPr>
        <xdr:cNvPr id="112" name="Straight Arrow Connector 111">
          <a:extLst>
            <a:ext uri="{FF2B5EF4-FFF2-40B4-BE49-F238E27FC236}">
              <a16:creationId xmlns:a16="http://schemas.microsoft.com/office/drawing/2014/main" id="{00000000-0008-0000-0500-000070000000}"/>
            </a:ext>
          </a:extLst>
        </xdr:cNvPr>
        <xdr:cNvCxnSpPr/>
      </xdr:nvCxnSpPr>
      <xdr:spPr>
        <a:xfrm flipH="1">
          <a:off x="1774825" y="2266950"/>
          <a:ext cx="1" cy="213884"/>
        </a:xfrm>
        <a:prstGeom prst="straightConnector1">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1152142</xdr:colOff>
      <xdr:row>23</xdr:row>
      <xdr:rowOff>201899</xdr:rowOff>
    </xdr:from>
    <xdr:to>
      <xdr:col>6</xdr:col>
      <xdr:colOff>428625</xdr:colOff>
      <xdr:row>23</xdr:row>
      <xdr:rowOff>201899</xdr:rowOff>
    </xdr:to>
    <xdr:cxnSp macro="">
      <xdr:nvCxnSpPr>
        <xdr:cNvPr id="121" name="Straight Connector 120">
          <a:extLst>
            <a:ext uri="{FF2B5EF4-FFF2-40B4-BE49-F238E27FC236}">
              <a16:creationId xmlns:a16="http://schemas.microsoft.com/office/drawing/2014/main" id="{00000000-0008-0000-0500-000079000000}"/>
            </a:ext>
          </a:extLst>
        </xdr:cNvPr>
        <xdr:cNvCxnSpPr/>
      </xdr:nvCxnSpPr>
      <xdr:spPr>
        <a:xfrm flipH="1">
          <a:off x="7067167" y="2697449"/>
          <a:ext cx="448058"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602494</xdr:colOff>
      <xdr:row>17</xdr:row>
      <xdr:rowOff>187172</xdr:rowOff>
    </xdr:from>
    <xdr:to>
      <xdr:col>5</xdr:col>
      <xdr:colOff>602494</xdr:colOff>
      <xdr:row>19</xdr:row>
      <xdr:rowOff>193221</xdr:rowOff>
    </xdr:to>
    <xdr:cxnSp macro="">
      <xdr:nvCxnSpPr>
        <xdr:cNvPr id="134" name="Straight Connector 133">
          <a:extLst>
            <a:ext uri="{FF2B5EF4-FFF2-40B4-BE49-F238E27FC236}">
              <a16:creationId xmlns:a16="http://schemas.microsoft.com/office/drawing/2014/main" id="{00000000-0008-0000-0500-000086000000}"/>
            </a:ext>
          </a:extLst>
        </xdr:cNvPr>
        <xdr:cNvCxnSpPr/>
      </xdr:nvCxnSpPr>
      <xdr:spPr>
        <a:xfrm flipV="1">
          <a:off x="6507994" y="1479851"/>
          <a:ext cx="0" cy="414263"/>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573898</xdr:colOff>
      <xdr:row>26</xdr:row>
      <xdr:rowOff>192899</xdr:rowOff>
    </xdr:from>
    <xdr:to>
      <xdr:col>6</xdr:col>
      <xdr:colOff>1476634</xdr:colOff>
      <xdr:row>26</xdr:row>
      <xdr:rowOff>192899</xdr:rowOff>
    </xdr:to>
    <xdr:cxnSp macro="">
      <xdr:nvCxnSpPr>
        <xdr:cNvPr id="135" name="Straight Connector 134">
          <a:extLst>
            <a:ext uri="{FF2B5EF4-FFF2-40B4-BE49-F238E27FC236}">
              <a16:creationId xmlns:a16="http://schemas.microsoft.com/office/drawing/2014/main" id="{00000000-0008-0000-0500-000087000000}"/>
            </a:ext>
          </a:extLst>
        </xdr:cNvPr>
        <xdr:cNvCxnSpPr/>
      </xdr:nvCxnSpPr>
      <xdr:spPr>
        <a:xfrm>
          <a:off x="5280369" y="5818252"/>
          <a:ext cx="3312000"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583141</xdr:colOff>
      <xdr:row>27</xdr:row>
      <xdr:rowOff>2800</xdr:rowOff>
    </xdr:from>
    <xdr:to>
      <xdr:col>7</xdr:col>
      <xdr:colOff>583141</xdr:colOff>
      <xdr:row>35</xdr:row>
      <xdr:rowOff>629</xdr:rowOff>
    </xdr:to>
    <xdr:cxnSp macro="">
      <xdr:nvCxnSpPr>
        <xdr:cNvPr id="142" name="Straight Connector 141">
          <a:extLst>
            <a:ext uri="{FF2B5EF4-FFF2-40B4-BE49-F238E27FC236}">
              <a16:creationId xmlns:a16="http://schemas.microsoft.com/office/drawing/2014/main" id="{00000000-0008-0000-0500-00008E000000}"/>
            </a:ext>
          </a:extLst>
        </xdr:cNvPr>
        <xdr:cNvCxnSpPr/>
      </xdr:nvCxnSpPr>
      <xdr:spPr>
        <a:xfrm>
          <a:off x="9178053" y="6053976"/>
          <a:ext cx="0" cy="184680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21</xdr:row>
      <xdr:rowOff>42182</xdr:rowOff>
    </xdr:from>
    <xdr:to>
      <xdr:col>4</xdr:col>
      <xdr:colOff>571500</xdr:colOff>
      <xdr:row>23</xdr:row>
      <xdr:rowOff>167564</xdr:rowOff>
    </xdr:to>
    <xdr:cxnSp macro="">
      <xdr:nvCxnSpPr>
        <xdr:cNvPr id="144" name="Straight Connector 143">
          <a:extLst>
            <a:ext uri="{FF2B5EF4-FFF2-40B4-BE49-F238E27FC236}">
              <a16:creationId xmlns:a16="http://schemas.microsoft.com/office/drawing/2014/main" id="{00000000-0008-0000-0500-000090000000}"/>
            </a:ext>
          </a:extLst>
        </xdr:cNvPr>
        <xdr:cNvCxnSpPr/>
      </xdr:nvCxnSpPr>
      <xdr:spPr>
        <a:xfrm>
          <a:off x="5277971" y="4423682"/>
          <a:ext cx="0" cy="54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7951</xdr:colOff>
          <xdr:row>8</xdr:row>
          <xdr:rowOff>190831</xdr:rowOff>
        </xdr:from>
        <xdr:to>
          <xdr:col>4</xdr:col>
          <xdr:colOff>1144988</xdr:colOff>
          <xdr:row>9</xdr:row>
          <xdr:rowOff>190831</xdr:rowOff>
        </xdr:to>
        <xdr:sp macro="" textlink="">
          <xdr:nvSpPr>
            <xdr:cNvPr id="21536" name="Scroll Bar 32" hidden="1">
              <a:extLst>
                <a:ext uri="{63B3BB69-23CF-44E3-9099-C40C66FF867C}">
                  <a14:compatExt spid="_x0000_s21536"/>
                </a:ext>
                <a:ext uri="{FF2B5EF4-FFF2-40B4-BE49-F238E27FC236}">
                  <a16:creationId xmlns:a16="http://schemas.microsoft.com/office/drawing/2014/main" id="{00000000-0008-0000-0500-0000205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4</xdr:col>
      <xdr:colOff>25613</xdr:colOff>
      <xdr:row>55</xdr:row>
      <xdr:rowOff>101652</xdr:rowOff>
    </xdr:from>
    <xdr:to>
      <xdr:col>4</xdr:col>
      <xdr:colOff>1211756</xdr:colOff>
      <xdr:row>55</xdr:row>
      <xdr:rowOff>101652</xdr:rowOff>
    </xdr:to>
    <xdr:cxnSp macro="">
      <xdr:nvCxnSpPr>
        <xdr:cNvPr id="117" name="Straight Connector 116">
          <a:extLst>
            <a:ext uri="{FF2B5EF4-FFF2-40B4-BE49-F238E27FC236}">
              <a16:creationId xmlns:a16="http://schemas.microsoft.com/office/drawing/2014/main" id="{00000000-0008-0000-0500-000075000000}"/>
            </a:ext>
          </a:extLst>
        </xdr:cNvPr>
        <xdr:cNvCxnSpPr/>
      </xdr:nvCxnSpPr>
      <xdr:spPr>
        <a:xfrm>
          <a:off x="4732084" y="9951623"/>
          <a:ext cx="1186143"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1168613</xdr:colOff>
      <xdr:row>55</xdr:row>
      <xdr:rowOff>112858</xdr:rowOff>
    </xdr:from>
    <xdr:to>
      <xdr:col>3</xdr:col>
      <xdr:colOff>1521</xdr:colOff>
      <xdr:row>55</xdr:row>
      <xdr:rowOff>112858</xdr:rowOff>
    </xdr:to>
    <xdr:cxnSp macro="">
      <xdr:nvCxnSpPr>
        <xdr:cNvPr id="118" name="Straight Connector 117">
          <a:extLst>
            <a:ext uri="{FF2B5EF4-FFF2-40B4-BE49-F238E27FC236}">
              <a16:creationId xmlns:a16="http://schemas.microsoft.com/office/drawing/2014/main" id="{00000000-0008-0000-0500-000076000000}"/>
            </a:ext>
          </a:extLst>
        </xdr:cNvPr>
        <xdr:cNvCxnSpPr/>
      </xdr:nvCxnSpPr>
      <xdr:spPr>
        <a:xfrm>
          <a:off x="2345231" y="9962829"/>
          <a:ext cx="1186143"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1157407</xdr:colOff>
      <xdr:row>55</xdr:row>
      <xdr:rowOff>124064</xdr:rowOff>
    </xdr:from>
    <xdr:to>
      <xdr:col>6</xdr:col>
      <xdr:colOff>1166933</xdr:colOff>
      <xdr:row>55</xdr:row>
      <xdr:rowOff>124064</xdr:rowOff>
    </xdr:to>
    <xdr:cxnSp macro="">
      <xdr:nvCxnSpPr>
        <xdr:cNvPr id="119" name="Straight Connector 118">
          <a:extLst>
            <a:ext uri="{FF2B5EF4-FFF2-40B4-BE49-F238E27FC236}">
              <a16:creationId xmlns:a16="http://schemas.microsoft.com/office/drawing/2014/main" id="{00000000-0008-0000-0500-000077000000}"/>
            </a:ext>
          </a:extLst>
        </xdr:cNvPr>
        <xdr:cNvCxnSpPr/>
      </xdr:nvCxnSpPr>
      <xdr:spPr>
        <a:xfrm>
          <a:off x="7096525" y="9974035"/>
          <a:ext cx="1186143"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534921</xdr:colOff>
      <xdr:row>55</xdr:row>
      <xdr:rowOff>136631</xdr:rowOff>
    </xdr:from>
    <xdr:to>
      <xdr:col>6</xdr:col>
      <xdr:colOff>534921</xdr:colOff>
      <xdr:row>62</xdr:row>
      <xdr:rowOff>104775</xdr:rowOff>
    </xdr:to>
    <xdr:cxnSp macro="">
      <xdr:nvCxnSpPr>
        <xdr:cNvPr id="120" name="Straight Connector 119">
          <a:extLst>
            <a:ext uri="{FF2B5EF4-FFF2-40B4-BE49-F238E27FC236}">
              <a16:creationId xmlns:a16="http://schemas.microsoft.com/office/drawing/2014/main" id="{00000000-0008-0000-0500-000078000000}"/>
            </a:ext>
          </a:extLst>
        </xdr:cNvPr>
        <xdr:cNvCxnSpPr/>
      </xdr:nvCxnSpPr>
      <xdr:spPr>
        <a:xfrm>
          <a:off x="7621521" y="9899756"/>
          <a:ext cx="0" cy="14064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549089</xdr:colOff>
      <xdr:row>57</xdr:row>
      <xdr:rowOff>112859</xdr:rowOff>
    </xdr:from>
    <xdr:to>
      <xdr:col>7</xdr:col>
      <xdr:colOff>12727</xdr:colOff>
      <xdr:row>57</xdr:row>
      <xdr:rowOff>112859</xdr:rowOff>
    </xdr:to>
    <xdr:cxnSp macro="">
      <xdr:nvCxnSpPr>
        <xdr:cNvPr id="122" name="Straight Connector 121">
          <a:extLst>
            <a:ext uri="{FF2B5EF4-FFF2-40B4-BE49-F238E27FC236}">
              <a16:creationId xmlns:a16="http://schemas.microsoft.com/office/drawing/2014/main" id="{00000000-0008-0000-0500-00007A000000}"/>
            </a:ext>
          </a:extLst>
        </xdr:cNvPr>
        <xdr:cNvCxnSpPr/>
      </xdr:nvCxnSpPr>
      <xdr:spPr>
        <a:xfrm>
          <a:off x="7664824" y="10388653"/>
          <a:ext cx="640256"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537883</xdr:colOff>
      <xdr:row>62</xdr:row>
      <xdr:rowOff>101654</xdr:rowOff>
    </xdr:from>
    <xdr:to>
      <xdr:col>7</xdr:col>
      <xdr:colOff>1521</xdr:colOff>
      <xdr:row>62</xdr:row>
      <xdr:rowOff>101654</xdr:rowOff>
    </xdr:to>
    <xdr:cxnSp macro="">
      <xdr:nvCxnSpPr>
        <xdr:cNvPr id="124" name="Straight Connector 123">
          <a:extLst>
            <a:ext uri="{FF2B5EF4-FFF2-40B4-BE49-F238E27FC236}">
              <a16:creationId xmlns:a16="http://schemas.microsoft.com/office/drawing/2014/main" id="{00000000-0008-0000-0500-00007C000000}"/>
            </a:ext>
          </a:extLst>
        </xdr:cNvPr>
        <xdr:cNvCxnSpPr/>
      </xdr:nvCxnSpPr>
      <xdr:spPr>
        <a:xfrm>
          <a:off x="7653618" y="11408389"/>
          <a:ext cx="640256"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559511</xdr:colOff>
      <xdr:row>56</xdr:row>
      <xdr:rowOff>35</xdr:rowOff>
    </xdr:from>
    <xdr:to>
      <xdr:col>5</xdr:col>
      <xdr:colOff>559511</xdr:colOff>
      <xdr:row>56</xdr:row>
      <xdr:rowOff>197223</xdr:rowOff>
    </xdr:to>
    <xdr:cxnSp macro="">
      <xdr:nvCxnSpPr>
        <xdr:cNvPr id="127" name="Straight Connector 126">
          <a:extLst>
            <a:ext uri="{FF2B5EF4-FFF2-40B4-BE49-F238E27FC236}">
              <a16:creationId xmlns:a16="http://schemas.microsoft.com/office/drawing/2014/main" id="{00000000-0008-0000-0500-00007F000000}"/>
            </a:ext>
          </a:extLst>
        </xdr:cNvPr>
        <xdr:cNvCxnSpPr/>
      </xdr:nvCxnSpPr>
      <xdr:spPr>
        <a:xfrm flipV="1">
          <a:off x="6474536" y="9972710"/>
          <a:ext cx="0" cy="197188"/>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1166932</xdr:colOff>
      <xdr:row>57</xdr:row>
      <xdr:rowOff>105014</xdr:rowOff>
    </xdr:from>
    <xdr:to>
      <xdr:col>8</xdr:col>
      <xdr:colOff>1162050</xdr:colOff>
      <xdr:row>57</xdr:row>
      <xdr:rowOff>105014</xdr:rowOff>
    </xdr:to>
    <xdr:cxnSp macro="">
      <xdr:nvCxnSpPr>
        <xdr:cNvPr id="128" name="Straight Connector 127">
          <a:extLst>
            <a:ext uri="{FF2B5EF4-FFF2-40B4-BE49-F238E27FC236}">
              <a16:creationId xmlns:a16="http://schemas.microsoft.com/office/drawing/2014/main" id="{00000000-0008-0000-0500-000080000000}"/>
            </a:ext>
          </a:extLst>
        </xdr:cNvPr>
        <xdr:cNvCxnSpPr/>
      </xdr:nvCxnSpPr>
      <xdr:spPr>
        <a:xfrm>
          <a:off x="9425107" y="10287239"/>
          <a:ext cx="1166693"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1166932</xdr:colOff>
      <xdr:row>57</xdr:row>
      <xdr:rowOff>95489</xdr:rowOff>
    </xdr:from>
    <xdr:to>
      <xdr:col>10</xdr:col>
      <xdr:colOff>1219200</xdr:colOff>
      <xdr:row>57</xdr:row>
      <xdr:rowOff>95489</xdr:rowOff>
    </xdr:to>
    <xdr:cxnSp macro="">
      <xdr:nvCxnSpPr>
        <xdr:cNvPr id="130" name="Straight Connector 129">
          <a:extLst>
            <a:ext uri="{FF2B5EF4-FFF2-40B4-BE49-F238E27FC236}">
              <a16:creationId xmlns:a16="http://schemas.microsoft.com/office/drawing/2014/main" id="{00000000-0008-0000-0500-000082000000}"/>
            </a:ext>
          </a:extLst>
        </xdr:cNvPr>
        <xdr:cNvCxnSpPr/>
      </xdr:nvCxnSpPr>
      <xdr:spPr>
        <a:xfrm>
          <a:off x="11768257" y="10277714"/>
          <a:ext cx="1223843"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1520</xdr:colOff>
      <xdr:row>58</xdr:row>
      <xdr:rowOff>84283</xdr:rowOff>
    </xdr:from>
    <xdr:to>
      <xdr:col>17</xdr:col>
      <xdr:colOff>9525</xdr:colOff>
      <xdr:row>58</xdr:row>
      <xdr:rowOff>84283</xdr:rowOff>
    </xdr:to>
    <xdr:cxnSp macro="">
      <xdr:nvCxnSpPr>
        <xdr:cNvPr id="132" name="Straight Connector 131">
          <a:extLst>
            <a:ext uri="{FF2B5EF4-FFF2-40B4-BE49-F238E27FC236}">
              <a16:creationId xmlns:a16="http://schemas.microsoft.com/office/drawing/2014/main" id="{00000000-0008-0000-0500-000084000000}"/>
            </a:ext>
          </a:extLst>
        </xdr:cNvPr>
        <xdr:cNvCxnSpPr/>
      </xdr:nvCxnSpPr>
      <xdr:spPr>
        <a:xfrm>
          <a:off x="16517870" y="10476058"/>
          <a:ext cx="3017905"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571375</xdr:colOff>
      <xdr:row>58</xdr:row>
      <xdr:rowOff>91886</xdr:rowOff>
    </xdr:from>
    <xdr:to>
      <xdr:col>15</xdr:col>
      <xdr:colOff>571375</xdr:colOff>
      <xdr:row>62</xdr:row>
      <xdr:rowOff>156882</xdr:rowOff>
    </xdr:to>
    <xdr:cxnSp macro="">
      <xdr:nvCxnSpPr>
        <xdr:cNvPr id="136" name="Straight Connector 135">
          <a:extLst>
            <a:ext uri="{FF2B5EF4-FFF2-40B4-BE49-F238E27FC236}">
              <a16:creationId xmlns:a16="http://schemas.microsoft.com/office/drawing/2014/main" id="{00000000-0008-0000-0500-000088000000}"/>
            </a:ext>
          </a:extLst>
        </xdr:cNvPr>
        <xdr:cNvCxnSpPr/>
      </xdr:nvCxnSpPr>
      <xdr:spPr>
        <a:xfrm>
          <a:off x="18332699" y="10580592"/>
          <a:ext cx="0" cy="905437"/>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631532</xdr:colOff>
      <xdr:row>56</xdr:row>
      <xdr:rowOff>114300</xdr:rowOff>
    </xdr:from>
    <xdr:to>
      <xdr:col>12</xdr:col>
      <xdr:colOff>631532</xdr:colOff>
      <xdr:row>58</xdr:row>
      <xdr:rowOff>123825</xdr:rowOff>
    </xdr:to>
    <xdr:cxnSp macro="">
      <xdr:nvCxnSpPr>
        <xdr:cNvPr id="139" name="Straight Connector 138">
          <a:extLst>
            <a:ext uri="{FF2B5EF4-FFF2-40B4-BE49-F238E27FC236}">
              <a16:creationId xmlns:a16="http://schemas.microsoft.com/office/drawing/2014/main" id="{00000000-0008-0000-0500-00008B000000}"/>
            </a:ext>
          </a:extLst>
        </xdr:cNvPr>
        <xdr:cNvCxnSpPr/>
      </xdr:nvCxnSpPr>
      <xdr:spPr>
        <a:xfrm>
          <a:off x="14793846" y="10167257"/>
          <a:ext cx="0" cy="4340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609600</xdr:colOff>
      <xdr:row>56</xdr:row>
      <xdr:rowOff>111178</xdr:rowOff>
    </xdr:from>
    <xdr:to>
      <xdr:col>12</xdr:col>
      <xdr:colOff>1165812</xdr:colOff>
      <xdr:row>56</xdr:row>
      <xdr:rowOff>111178</xdr:rowOff>
    </xdr:to>
    <xdr:cxnSp macro="">
      <xdr:nvCxnSpPr>
        <xdr:cNvPr id="140" name="Straight Connector 139">
          <a:extLst>
            <a:ext uri="{FF2B5EF4-FFF2-40B4-BE49-F238E27FC236}">
              <a16:creationId xmlns:a16="http://schemas.microsoft.com/office/drawing/2014/main" id="{00000000-0008-0000-0500-00008C000000}"/>
            </a:ext>
          </a:extLst>
        </xdr:cNvPr>
        <xdr:cNvCxnSpPr/>
      </xdr:nvCxnSpPr>
      <xdr:spPr>
        <a:xfrm>
          <a:off x="14771914" y="10164135"/>
          <a:ext cx="556212"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620486</xdr:colOff>
      <xdr:row>58</xdr:row>
      <xdr:rowOff>111178</xdr:rowOff>
    </xdr:from>
    <xdr:to>
      <xdr:col>12</xdr:col>
      <xdr:colOff>1165812</xdr:colOff>
      <xdr:row>58</xdr:row>
      <xdr:rowOff>111178</xdr:rowOff>
    </xdr:to>
    <xdr:cxnSp macro="">
      <xdr:nvCxnSpPr>
        <xdr:cNvPr id="143" name="Straight Connector 142">
          <a:extLst>
            <a:ext uri="{FF2B5EF4-FFF2-40B4-BE49-F238E27FC236}">
              <a16:creationId xmlns:a16="http://schemas.microsoft.com/office/drawing/2014/main" id="{00000000-0008-0000-0500-00008F000000}"/>
            </a:ext>
          </a:extLst>
        </xdr:cNvPr>
        <xdr:cNvCxnSpPr/>
      </xdr:nvCxnSpPr>
      <xdr:spPr>
        <a:xfrm>
          <a:off x="14782800" y="10588678"/>
          <a:ext cx="545326"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51</xdr:row>
      <xdr:rowOff>19715</xdr:rowOff>
    </xdr:from>
    <xdr:to>
      <xdr:col>14</xdr:col>
      <xdr:colOff>248478</xdr:colOff>
      <xdr:row>55</xdr:row>
      <xdr:rowOff>107675</xdr:rowOff>
    </xdr:to>
    <xdr:cxnSp macro="">
      <xdr:nvCxnSpPr>
        <xdr:cNvPr id="21553" name="Elbow Connector 21552">
          <a:extLst>
            <a:ext uri="{FF2B5EF4-FFF2-40B4-BE49-F238E27FC236}">
              <a16:creationId xmlns:a16="http://schemas.microsoft.com/office/drawing/2014/main" id="{00000000-0008-0000-0500-000031540000}"/>
            </a:ext>
          </a:extLst>
        </xdr:cNvPr>
        <xdr:cNvCxnSpPr/>
      </xdr:nvCxnSpPr>
      <xdr:spPr>
        <a:xfrm flipV="1">
          <a:off x="9400761" y="8890389"/>
          <a:ext cx="7313543" cy="916221"/>
        </a:xfrm>
        <a:prstGeom prst="bentConnector3">
          <a:avLst/>
        </a:prstGeom>
        <a:ln>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248354</xdr:colOff>
      <xdr:row>51</xdr:row>
      <xdr:rowOff>777</xdr:rowOff>
    </xdr:from>
    <xdr:to>
      <xdr:col>14</xdr:col>
      <xdr:colOff>248354</xdr:colOff>
      <xdr:row>56</xdr:row>
      <xdr:rowOff>99391</xdr:rowOff>
    </xdr:to>
    <xdr:cxnSp macro="">
      <xdr:nvCxnSpPr>
        <xdr:cNvPr id="153" name="Straight Connector 152">
          <a:extLst>
            <a:ext uri="{FF2B5EF4-FFF2-40B4-BE49-F238E27FC236}">
              <a16:creationId xmlns:a16="http://schemas.microsoft.com/office/drawing/2014/main" id="{00000000-0008-0000-0500-000099000000}"/>
            </a:ext>
          </a:extLst>
        </xdr:cNvPr>
        <xdr:cNvCxnSpPr/>
      </xdr:nvCxnSpPr>
      <xdr:spPr>
        <a:xfrm>
          <a:off x="16714180" y="8871451"/>
          <a:ext cx="0" cy="113394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xdr:colOff>
      <xdr:row>56</xdr:row>
      <xdr:rowOff>109539</xdr:rowOff>
    </xdr:from>
    <xdr:to>
      <xdr:col>19</xdr:col>
      <xdr:colOff>19050</xdr:colOff>
      <xdr:row>56</xdr:row>
      <xdr:rowOff>109539</xdr:rowOff>
    </xdr:to>
    <xdr:cxnSp macro="">
      <xdr:nvCxnSpPr>
        <xdr:cNvPr id="157" name="Straight Arrow Connector 156">
          <a:extLst>
            <a:ext uri="{FF2B5EF4-FFF2-40B4-BE49-F238E27FC236}">
              <a16:creationId xmlns:a16="http://schemas.microsoft.com/office/drawing/2014/main" id="{00000000-0008-0000-0500-00009D000000}"/>
            </a:ext>
          </a:extLst>
        </xdr:cNvPr>
        <xdr:cNvCxnSpPr/>
      </xdr:nvCxnSpPr>
      <xdr:spPr>
        <a:xfrm>
          <a:off x="18988087" y="10082214"/>
          <a:ext cx="248126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640292</xdr:colOff>
      <xdr:row>55</xdr:row>
      <xdr:rowOff>10583</xdr:rowOff>
    </xdr:from>
    <xdr:to>
      <xdr:col>17</xdr:col>
      <xdr:colOff>640292</xdr:colOff>
      <xdr:row>56</xdr:row>
      <xdr:rowOff>114300</xdr:rowOff>
    </xdr:to>
    <xdr:cxnSp macro="">
      <xdr:nvCxnSpPr>
        <xdr:cNvPr id="161" name="Straight Connector 160">
          <a:extLst>
            <a:ext uri="{FF2B5EF4-FFF2-40B4-BE49-F238E27FC236}">
              <a16:creationId xmlns:a16="http://schemas.microsoft.com/office/drawing/2014/main" id="{00000000-0008-0000-0500-0000A1000000}"/>
            </a:ext>
          </a:extLst>
        </xdr:cNvPr>
        <xdr:cNvCxnSpPr/>
      </xdr:nvCxnSpPr>
      <xdr:spPr>
        <a:xfrm>
          <a:off x="20166542" y="9773708"/>
          <a:ext cx="0" cy="313267"/>
        </a:xfrm>
        <a:prstGeom prst="line">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xdr:colOff>
      <xdr:row>45</xdr:row>
      <xdr:rowOff>125104</xdr:rowOff>
    </xdr:from>
    <xdr:to>
      <xdr:col>13</xdr:col>
      <xdr:colOff>13607</xdr:colOff>
      <xdr:row>45</xdr:row>
      <xdr:rowOff>125104</xdr:rowOff>
    </xdr:to>
    <xdr:cxnSp macro="">
      <xdr:nvCxnSpPr>
        <xdr:cNvPr id="167" name="Straight Connector 166">
          <a:extLst>
            <a:ext uri="{FF2B5EF4-FFF2-40B4-BE49-F238E27FC236}">
              <a16:creationId xmlns:a16="http://schemas.microsoft.com/office/drawing/2014/main" id="{00000000-0008-0000-0500-0000A7000000}"/>
            </a:ext>
          </a:extLst>
        </xdr:cNvPr>
        <xdr:cNvCxnSpPr/>
      </xdr:nvCxnSpPr>
      <xdr:spPr>
        <a:xfrm flipH="1">
          <a:off x="9429750" y="7826747"/>
          <a:ext cx="5905500"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598589</xdr:colOff>
      <xdr:row>53</xdr:row>
      <xdr:rowOff>13607</xdr:rowOff>
    </xdr:from>
    <xdr:to>
      <xdr:col>9</xdr:col>
      <xdr:colOff>598589</xdr:colOff>
      <xdr:row>56</xdr:row>
      <xdr:rowOff>190500</xdr:rowOff>
    </xdr:to>
    <xdr:cxnSp macro="">
      <xdr:nvCxnSpPr>
        <xdr:cNvPr id="170" name="Straight Connector 169">
          <a:extLst>
            <a:ext uri="{FF2B5EF4-FFF2-40B4-BE49-F238E27FC236}">
              <a16:creationId xmlns:a16="http://schemas.microsoft.com/office/drawing/2014/main" id="{00000000-0008-0000-0500-0000AA000000}"/>
            </a:ext>
          </a:extLst>
        </xdr:cNvPr>
        <xdr:cNvCxnSpPr/>
      </xdr:nvCxnSpPr>
      <xdr:spPr>
        <a:xfrm>
          <a:off x="11184946" y="9416143"/>
          <a:ext cx="0" cy="789214"/>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592666</xdr:colOff>
      <xdr:row>45</xdr:row>
      <xdr:rowOff>136071</xdr:rowOff>
    </xdr:from>
    <xdr:to>
      <xdr:col>9</xdr:col>
      <xdr:colOff>592666</xdr:colOff>
      <xdr:row>51</xdr:row>
      <xdr:rowOff>0</xdr:rowOff>
    </xdr:to>
    <xdr:cxnSp macro="">
      <xdr:nvCxnSpPr>
        <xdr:cNvPr id="172" name="Straight Connector 171">
          <a:extLst>
            <a:ext uri="{FF2B5EF4-FFF2-40B4-BE49-F238E27FC236}">
              <a16:creationId xmlns:a16="http://schemas.microsoft.com/office/drawing/2014/main" id="{00000000-0008-0000-0500-0000AC000000}"/>
            </a:ext>
          </a:extLst>
        </xdr:cNvPr>
        <xdr:cNvCxnSpPr/>
      </xdr:nvCxnSpPr>
      <xdr:spPr>
        <a:xfrm>
          <a:off x="11179023" y="7837714"/>
          <a:ext cx="0" cy="1156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551846</xdr:colOff>
      <xdr:row>65</xdr:row>
      <xdr:rowOff>0</xdr:rowOff>
    </xdr:from>
    <xdr:to>
      <xdr:col>25</xdr:col>
      <xdr:colOff>551846</xdr:colOff>
      <xdr:row>66</xdr:row>
      <xdr:rowOff>21167</xdr:rowOff>
    </xdr:to>
    <xdr:cxnSp macro="">
      <xdr:nvCxnSpPr>
        <xdr:cNvPr id="176" name="Straight Arrow Connector 175">
          <a:extLst>
            <a:ext uri="{FF2B5EF4-FFF2-40B4-BE49-F238E27FC236}">
              <a16:creationId xmlns:a16="http://schemas.microsoft.com/office/drawing/2014/main" id="{00000000-0008-0000-0500-0000B0000000}"/>
            </a:ext>
          </a:extLst>
        </xdr:cNvPr>
        <xdr:cNvCxnSpPr/>
      </xdr:nvCxnSpPr>
      <xdr:spPr>
        <a:xfrm>
          <a:off x="23166917" y="12055929"/>
          <a:ext cx="0" cy="225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565453</xdr:colOff>
      <xdr:row>62</xdr:row>
      <xdr:rowOff>1</xdr:rowOff>
    </xdr:from>
    <xdr:to>
      <xdr:col>25</xdr:col>
      <xdr:colOff>565453</xdr:colOff>
      <xdr:row>63</xdr:row>
      <xdr:rowOff>13608</xdr:rowOff>
    </xdr:to>
    <xdr:cxnSp macro="">
      <xdr:nvCxnSpPr>
        <xdr:cNvPr id="177" name="Straight Arrow Connector 176">
          <a:extLst>
            <a:ext uri="{FF2B5EF4-FFF2-40B4-BE49-F238E27FC236}">
              <a16:creationId xmlns:a16="http://schemas.microsoft.com/office/drawing/2014/main" id="{00000000-0008-0000-0500-0000B1000000}"/>
            </a:ext>
          </a:extLst>
        </xdr:cNvPr>
        <xdr:cNvCxnSpPr/>
      </xdr:nvCxnSpPr>
      <xdr:spPr>
        <a:xfrm>
          <a:off x="23180524" y="11443608"/>
          <a:ext cx="0" cy="217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595468</xdr:colOff>
      <xdr:row>42</xdr:row>
      <xdr:rowOff>179294</xdr:rowOff>
    </xdr:from>
    <xdr:to>
      <xdr:col>13</xdr:col>
      <xdr:colOff>595468</xdr:colOff>
      <xdr:row>45</xdr:row>
      <xdr:rowOff>13447</xdr:rowOff>
    </xdr:to>
    <xdr:cxnSp macro="">
      <xdr:nvCxnSpPr>
        <xdr:cNvPr id="85" name="Straight Connector 84">
          <a:extLst>
            <a:ext uri="{FF2B5EF4-FFF2-40B4-BE49-F238E27FC236}">
              <a16:creationId xmlns:a16="http://schemas.microsoft.com/office/drawing/2014/main" id="{00000000-0008-0000-0500-000055000000}"/>
            </a:ext>
          </a:extLst>
        </xdr:cNvPr>
        <xdr:cNvCxnSpPr/>
      </xdr:nvCxnSpPr>
      <xdr:spPr>
        <a:xfrm>
          <a:off x="16003556" y="7239000"/>
          <a:ext cx="0" cy="450476"/>
        </a:xfrm>
        <a:prstGeom prst="line">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603312</xdr:colOff>
      <xdr:row>40</xdr:row>
      <xdr:rowOff>0</xdr:rowOff>
    </xdr:from>
    <xdr:to>
      <xdr:col>13</xdr:col>
      <xdr:colOff>603312</xdr:colOff>
      <xdr:row>41</xdr:row>
      <xdr:rowOff>180975</xdr:rowOff>
    </xdr:to>
    <xdr:cxnSp macro="">
      <xdr:nvCxnSpPr>
        <xdr:cNvPr id="87" name="Straight Connector 86">
          <a:extLst>
            <a:ext uri="{FF2B5EF4-FFF2-40B4-BE49-F238E27FC236}">
              <a16:creationId xmlns:a16="http://schemas.microsoft.com/office/drawing/2014/main" id="{00000000-0008-0000-0500-000057000000}"/>
            </a:ext>
          </a:extLst>
        </xdr:cNvPr>
        <xdr:cNvCxnSpPr/>
      </xdr:nvCxnSpPr>
      <xdr:spPr>
        <a:xfrm>
          <a:off x="15948087" y="6610350"/>
          <a:ext cx="0" cy="381000"/>
        </a:xfrm>
        <a:prstGeom prst="line">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581461</xdr:colOff>
      <xdr:row>54</xdr:row>
      <xdr:rowOff>195723</xdr:rowOff>
    </xdr:from>
    <xdr:to>
      <xdr:col>21</xdr:col>
      <xdr:colOff>581461</xdr:colOff>
      <xdr:row>56</xdr:row>
      <xdr:rowOff>112545</xdr:rowOff>
    </xdr:to>
    <xdr:cxnSp macro="">
      <xdr:nvCxnSpPr>
        <xdr:cNvPr id="98" name="Straight Arrow Connector 97">
          <a:extLst>
            <a:ext uri="{FF2B5EF4-FFF2-40B4-BE49-F238E27FC236}">
              <a16:creationId xmlns:a16="http://schemas.microsoft.com/office/drawing/2014/main" id="{00000000-0008-0000-0500-000062000000}"/>
            </a:ext>
          </a:extLst>
        </xdr:cNvPr>
        <xdr:cNvCxnSpPr/>
      </xdr:nvCxnSpPr>
      <xdr:spPr>
        <a:xfrm>
          <a:off x="23557418" y="9596484"/>
          <a:ext cx="0" cy="3309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1162050</xdr:colOff>
      <xdr:row>56</xdr:row>
      <xdr:rowOff>101073</xdr:rowOff>
    </xdr:from>
    <xdr:to>
      <xdr:col>26</xdr:col>
      <xdr:colOff>309432</xdr:colOff>
      <xdr:row>56</xdr:row>
      <xdr:rowOff>101073</xdr:rowOff>
    </xdr:to>
    <xdr:cxnSp macro="">
      <xdr:nvCxnSpPr>
        <xdr:cNvPr id="99" name="Straight Arrow Connector 98">
          <a:extLst>
            <a:ext uri="{FF2B5EF4-FFF2-40B4-BE49-F238E27FC236}">
              <a16:creationId xmlns:a16="http://schemas.microsoft.com/office/drawing/2014/main" id="{00000000-0008-0000-0500-000063000000}"/>
            </a:ext>
          </a:extLst>
        </xdr:cNvPr>
        <xdr:cNvCxnSpPr/>
      </xdr:nvCxnSpPr>
      <xdr:spPr>
        <a:xfrm>
          <a:off x="27932903" y="12326691"/>
          <a:ext cx="32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581461</xdr:colOff>
      <xdr:row>57</xdr:row>
      <xdr:rowOff>14748</xdr:rowOff>
    </xdr:from>
    <xdr:to>
      <xdr:col>25</xdr:col>
      <xdr:colOff>581461</xdr:colOff>
      <xdr:row>59</xdr:row>
      <xdr:rowOff>171450</xdr:rowOff>
    </xdr:to>
    <xdr:cxnSp macro="">
      <xdr:nvCxnSpPr>
        <xdr:cNvPr id="100" name="Straight Arrow Connector 99">
          <a:extLst>
            <a:ext uri="{FF2B5EF4-FFF2-40B4-BE49-F238E27FC236}">
              <a16:creationId xmlns:a16="http://schemas.microsoft.com/office/drawing/2014/main" id="{00000000-0008-0000-0500-000064000000}"/>
            </a:ext>
          </a:extLst>
        </xdr:cNvPr>
        <xdr:cNvCxnSpPr/>
      </xdr:nvCxnSpPr>
      <xdr:spPr>
        <a:xfrm>
          <a:off x="26756161" y="10101723"/>
          <a:ext cx="0" cy="5758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1167493</xdr:colOff>
      <xdr:row>45</xdr:row>
      <xdr:rowOff>125104</xdr:rowOff>
    </xdr:from>
    <xdr:to>
      <xdr:col>15</xdr:col>
      <xdr:colOff>0</xdr:colOff>
      <xdr:row>45</xdr:row>
      <xdr:rowOff>125104</xdr:rowOff>
    </xdr:to>
    <xdr:cxnSp macro="">
      <xdr:nvCxnSpPr>
        <xdr:cNvPr id="101" name="Straight Connector 100">
          <a:extLst>
            <a:ext uri="{FF2B5EF4-FFF2-40B4-BE49-F238E27FC236}">
              <a16:creationId xmlns:a16="http://schemas.microsoft.com/office/drawing/2014/main" id="{00000000-0008-0000-0500-000065000000}"/>
            </a:ext>
          </a:extLst>
        </xdr:cNvPr>
        <xdr:cNvCxnSpPr/>
      </xdr:nvCxnSpPr>
      <xdr:spPr>
        <a:xfrm flipH="1">
          <a:off x="16512268" y="7745104"/>
          <a:ext cx="1175657"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5444</xdr:colOff>
      <xdr:row>45</xdr:row>
      <xdr:rowOff>125104</xdr:rowOff>
    </xdr:from>
    <xdr:to>
      <xdr:col>25</xdr:col>
      <xdr:colOff>647700</xdr:colOff>
      <xdr:row>45</xdr:row>
      <xdr:rowOff>125104</xdr:rowOff>
    </xdr:to>
    <xdr:cxnSp macro="">
      <xdr:nvCxnSpPr>
        <xdr:cNvPr id="106" name="Straight Connector 105">
          <a:extLst>
            <a:ext uri="{FF2B5EF4-FFF2-40B4-BE49-F238E27FC236}">
              <a16:creationId xmlns:a16="http://schemas.microsoft.com/office/drawing/2014/main" id="{00000000-0008-0000-0500-00006A000000}"/>
            </a:ext>
          </a:extLst>
        </xdr:cNvPr>
        <xdr:cNvCxnSpPr/>
      </xdr:nvCxnSpPr>
      <xdr:spPr>
        <a:xfrm flipH="1">
          <a:off x="18979244" y="7745104"/>
          <a:ext cx="7843156" cy="0"/>
        </a:xfrm>
        <a:prstGeom prst="line">
          <a:avLst/>
        </a:prstGeom>
        <a:ln>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648404</xdr:colOff>
      <xdr:row>45</xdr:row>
      <xdr:rowOff>124602</xdr:rowOff>
    </xdr:from>
    <xdr:to>
      <xdr:col>25</xdr:col>
      <xdr:colOff>648404</xdr:colOff>
      <xdr:row>54</xdr:row>
      <xdr:rowOff>200025</xdr:rowOff>
    </xdr:to>
    <xdr:cxnSp macro="">
      <xdr:nvCxnSpPr>
        <xdr:cNvPr id="107" name="Straight Connector 106">
          <a:extLst>
            <a:ext uri="{FF2B5EF4-FFF2-40B4-BE49-F238E27FC236}">
              <a16:creationId xmlns:a16="http://schemas.microsoft.com/office/drawing/2014/main" id="{00000000-0008-0000-0500-00006B000000}"/>
            </a:ext>
          </a:extLst>
        </xdr:cNvPr>
        <xdr:cNvCxnSpPr/>
      </xdr:nvCxnSpPr>
      <xdr:spPr>
        <a:xfrm>
          <a:off x="26823104" y="7744602"/>
          <a:ext cx="0" cy="1913748"/>
        </a:xfrm>
        <a:prstGeom prst="line">
          <a:avLst/>
        </a:prstGeom>
        <a:ln>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13610</xdr:colOff>
      <xdr:row>51</xdr:row>
      <xdr:rowOff>2640</xdr:rowOff>
    </xdr:from>
    <xdr:to>
      <xdr:col>5</xdr:col>
      <xdr:colOff>627529</xdr:colOff>
      <xdr:row>51</xdr:row>
      <xdr:rowOff>2640</xdr:rowOff>
    </xdr:to>
    <xdr:cxnSp macro="">
      <xdr:nvCxnSpPr>
        <xdr:cNvPr id="108" name="Straight Connector 107">
          <a:extLst>
            <a:ext uri="{FF2B5EF4-FFF2-40B4-BE49-F238E27FC236}">
              <a16:creationId xmlns:a16="http://schemas.microsoft.com/office/drawing/2014/main" id="{00000000-0008-0000-0500-00006C000000}"/>
            </a:ext>
          </a:extLst>
        </xdr:cNvPr>
        <xdr:cNvCxnSpPr/>
      </xdr:nvCxnSpPr>
      <xdr:spPr>
        <a:xfrm flipH="1">
          <a:off x="4720081" y="8911316"/>
          <a:ext cx="1846566" cy="0"/>
        </a:xfrm>
        <a:prstGeom prst="line">
          <a:avLst/>
        </a:prstGeom>
        <a:ln>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602956</xdr:colOff>
      <xdr:row>44</xdr:row>
      <xdr:rowOff>559</xdr:rowOff>
    </xdr:from>
    <xdr:to>
      <xdr:col>5</xdr:col>
      <xdr:colOff>602956</xdr:colOff>
      <xdr:row>51</xdr:row>
      <xdr:rowOff>0</xdr:rowOff>
    </xdr:to>
    <xdr:cxnSp macro="">
      <xdr:nvCxnSpPr>
        <xdr:cNvPr id="109" name="Straight Connector 108">
          <a:extLst>
            <a:ext uri="{FF2B5EF4-FFF2-40B4-BE49-F238E27FC236}">
              <a16:creationId xmlns:a16="http://schemas.microsoft.com/office/drawing/2014/main" id="{00000000-0008-0000-0500-00006D000000}"/>
            </a:ext>
          </a:extLst>
        </xdr:cNvPr>
        <xdr:cNvCxnSpPr/>
      </xdr:nvCxnSpPr>
      <xdr:spPr>
        <a:xfrm>
          <a:off x="6542074" y="7463677"/>
          <a:ext cx="0" cy="14449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610561</xdr:colOff>
      <xdr:row>45</xdr:row>
      <xdr:rowOff>125104</xdr:rowOff>
    </xdr:from>
    <xdr:to>
      <xdr:col>7</xdr:col>
      <xdr:colOff>11206</xdr:colOff>
      <xdr:row>45</xdr:row>
      <xdr:rowOff>125104</xdr:rowOff>
    </xdr:to>
    <xdr:cxnSp macro="">
      <xdr:nvCxnSpPr>
        <xdr:cNvPr id="113" name="Straight Connector 112">
          <a:extLst>
            <a:ext uri="{FF2B5EF4-FFF2-40B4-BE49-F238E27FC236}">
              <a16:creationId xmlns:a16="http://schemas.microsoft.com/office/drawing/2014/main" id="{00000000-0008-0000-0500-000071000000}"/>
            </a:ext>
          </a:extLst>
        </xdr:cNvPr>
        <xdr:cNvCxnSpPr/>
      </xdr:nvCxnSpPr>
      <xdr:spPr>
        <a:xfrm flipH="1">
          <a:off x="6549679" y="7801133"/>
          <a:ext cx="1753880" cy="0"/>
        </a:xfrm>
        <a:prstGeom prst="line">
          <a:avLst/>
        </a:prstGeom>
        <a:ln>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450397</xdr:colOff>
      <xdr:row>57</xdr:row>
      <xdr:rowOff>25854</xdr:rowOff>
    </xdr:from>
    <xdr:to>
      <xdr:col>23</xdr:col>
      <xdr:colOff>810092</xdr:colOff>
      <xdr:row>58</xdr:row>
      <xdr:rowOff>133325</xdr:rowOff>
    </xdr:to>
    <xdr:pic>
      <xdr:nvPicPr>
        <xdr:cNvPr id="81" name="Picture 80">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4"/>
        <a:stretch>
          <a:fillRect/>
        </a:stretch>
      </xdr:blipFill>
      <xdr:spPr>
        <a:xfrm>
          <a:off x="25446718" y="14299747"/>
          <a:ext cx="359695" cy="311578"/>
        </a:xfrm>
        <a:prstGeom prst="rect">
          <a:avLst/>
        </a:prstGeom>
      </xdr:spPr>
    </xdr:pic>
    <xdr:clientData/>
  </xdr:twoCellAnchor>
  <xdr:twoCellAnchor>
    <xdr:from>
      <xdr:col>5</xdr:col>
      <xdr:colOff>575583</xdr:colOff>
      <xdr:row>53</xdr:row>
      <xdr:rowOff>67236</xdr:rowOff>
    </xdr:from>
    <xdr:to>
      <xdr:col>5</xdr:col>
      <xdr:colOff>575583</xdr:colOff>
      <xdr:row>54</xdr:row>
      <xdr:rowOff>182575</xdr:rowOff>
    </xdr:to>
    <xdr:cxnSp macro="">
      <xdr:nvCxnSpPr>
        <xdr:cNvPr id="82" name="Straight Connector 81">
          <a:extLst>
            <a:ext uri="{FF2B5EF4-FFF2-40B4-BE49-F238E27FC236}">
              <a16:creationId xmlns:a16="http://schemas.microsoft.com/office/drawing/2014/main" id="{00000000-0008-0000-0500-000052000000}"/>
            </a:ext>
          </a:extLst>
        </xdr:cNvPr>
        <xdr:cNvCxnSpPr/>
      </xdr:nvCxnSpPr>
      <xdr:spPr>
        <a:xfrm>
          <a:off x="6514701" y="13469471"/>
          <a:ext cx="0" cy="3282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437029</xdr:colOff>
      <xdr:row>59</xdr:row>
      <xdr:rowOff>156882</xdr:rowOff>
    </xdr:from>
    <xdr:to>
      <xdr:col>15</xdr:col>
      <xdr:colOff>470647</xdr:colOff>
      <xdr:row>60</xdr:row>
      <xdr:rowOff>145676</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17324294" y="13021235"/>
          <a:ext cx="121023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i="1"/>
            <a:t>Alternative option</a:t>
          </a:r>
        </a:p>
      </xdr:txBody>
    </xdr:sp>
    <xdr:clientData/>
  </xdr:twoCellAnchor>
  <xdr:twoCellAnchor>
    <xdr:from>
      <xdr:col>4</xdr:col>
      <xdr:colOff>571500</xdr:colOff>
      <xdr:row>24</xdr:row>
      <xdr:rowOff>0</xdr:rowOff>
    </xdr:from>
    <xdr:to>
      <xdr:col>4</xdr:col>
      <xdr:colOff>571500</xdr:colOff>
      <xdr:row>26</xdr:row>
      <xdr:rowOff>190588</xdr:rowOff>
    </xdr:to>
    <xdr:cxnSp macro="">
      <xdr:nvCxnSpPr>
        <xdr:cNvPr id="80" name="Straight Connector 79">
          <a:extLst>
            <a:ext uri="{FF2B5EF4-FFF2-40B4-BE49-F238E27FC236}">
              <a16:creationId xmlns:a16="http://schemas.microsoft.com/office/drawing/2014/main" id="{00000000-0008-0000-0500-000050000000}"/>
            </a:ext>
          </a:extLst>
        </xdr:cNvPr>
        <xdr:cNvCxnSpPr/>
      </xdr:nvCxnSpPr>
      <xdr:spPr>
        <a:xfrm>
          <a:off x="5277971" y="5221941"/>
          <a:ext cx="0" cy="594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24</xdr:row>
      <xdr:rowOff>0</xdr:rowOff>
    </xdr:from>
    <xdr:to>
      <xdr:col>4</xdr:col>
      <xdr:colOff>571499</xdr:colOff>
      <xdr:row>24</xdr:row>
      <xdr:rowOff>0</xdr:rowOff>
    </xdr:to>
    <xdr:cxnSp macro="">
      <xdr:nvCxnSpPr>
        <xdr:cNvPr id="14" name="Straight Connector 13">
          <a:extLst>
            <a:ext uri="{FF2B5EF4-FFF2-40B4-BE49-F238E27FC236}">
              <a16:creationId xmlns:a16="http://schemas.microsoft.com/office/drawing/2014/main" id="{00000000-0008-0000-0500-00000E000000}"/>
            </a:ext>
          </a:extLst>
        </xdr:cNvPr>
        <xdr:cNvCxnSpPr/>
      </xdr:nvCxnSpPr>
      <xdr:spPr>
        <a:xfrm>
          <a:off x="4706470" y="5221941"/>
          <a:ext cx="571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750794</xdr:colOff>
      <xdr:row>26</xdr:row>
      <xdr:rowOff>0</xdr:rowOff>
    </xdr:from>
    <xdr:to>
      <xdr:col>6</xdr:col>
      <xdr:colOff>56030</xdr:colOff>
      <xdr:row>26</xdr:row>
      <xdr:rowOff>392205</xdr:rowOff>
    </xdr:to>
    <xdr:sp macro="" textlink="">
      <xdr:nvSpPr>
        <xdr:cNvPr id="15" name="Multiplication Sign 14">
          <a:extLst>
            <a:ext uri="{FF2B5EF4-FFF2-40B4-BE49-F238E27FC236}">
              <a16:creationId xmlns:a16="http://schemas.microsoft.com/office/drawing/2014/main" id="{00000000-0008-0000-0500-00000F000000}"/>
            </a:ext>
          </a:extLst>
        </xdr:cNvPr>
        <xdr:cNvSpPr/>
      </xdr:nvSpPr>
      <xdr:spPr>
        <a:xfrm>
          <a:off x="6689912" y="5625353"/>
          <a:ext cx="481853" cy="392205"/>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347382</xdr:colOff>
      <xdr:row>29</xdr:row>
      <xdr:rowOff>67236</xdr:rowOff>
    </xdr:from>
    <xdr:to>
      <xdr:col>7</xdr:col>
      <xdr:colOff>829235</xdr:colOff>
      <xdr:row>31</xdr:row>
      <xdr:rowOff>44823</xdr:rowOff>
    </xdr:to>
    <xdr:sp macro="" textlink="">
      <xdr:nvSpPr>
        <xdr:cNvPr id="84" name="Multiplication Sign 83">
          <a:extLst>
            <a:ext uri="{FF2B5EF4-FFF2-40B4-BE49-F238E27FC236}">
              <a16:creationId xmlns:a16="http://schemas.microsoft.com/office/drawing/2014/main" id="{00000000-0008-0000-0500-000054000000}"/>
            </a:ext>
          </a:extLst>
        </xdr:cNvPr>
        <xdr:cNvSpPr/>
      </xdr:nvSpPr>
      <xdr:spPr>
        <a:xfrm>
          <a:off x="8942294" y="6521824"/>
          <a:ext cx="481853" cy="392205"/>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885264</xdr:colOff>
      <xdr:row>33</xdr:row>
      <xdr:rowOff>100853</xdr:rowOff>
    </xdr:from>
    <xdr:to>
      <xdr:col>7</xdr:col>
      <xdr:colOff>145676</xdr:colOff>
      <xdr:row>33</xdr:row>
      <xdr:rowOff>100853</xdr:rowOff>
    </xdr:to>
    <xdr:cxnSp macro="">
      <xdr:nvCxnSpPr>
        <xdr:cNvPr id="17" name="Straight Connector 16">
          <a:extLst>
            <a:ext uri="{FF2B5EF4-FFF2-40B4-BE49-F238E27FC236}">
              <a16:creationId xmlns:a16="http://schemas.microsoft.com/office/drawing/2014/main" id="{00000000-0008-0000-0500-000011000000}"/>
            </a:ext>
          </a:extLst>
        </xdr:cNvPr>
        <xdr:cNvCxnSpPr/>
      </xdr:nvCxnSpPr>
      <xdr:spPr>
        <a:xfrm>
          <a:off x="5591735" y="7597588"/>
          <a:ext cx="314885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145744</xdr:colOff>
      <xdr:row>33</xdr:row>
      <xdr:rowOff>100854</xdr:rowOff>
    </xdr:from>
    <xdr:to>
      <xdr:col>7</xdr:col>
      <xdr:colOff>156950</xdr:colOff>
      <xdr:row>35</xdr:row>
      <xdr:rowOff>3442</xdr:rowOff>
    </xdr:to>
    <xdr:cxnSp macro="">
      <xdr:nvCxnSpPr>
        <xdr:cNvPr id="19" name="Straight Arrow Connector 18">
          <a:extLst>
            <a:ext uri="{FF2B5EF4-FFF2-40B4-BE49-F238E27FC236}">
              <a16:creationId xmlns:a16="http://schemas.microsoft.com/office/drawing/2014/main" id="{00000000-0008-0000-0500-000013000000}"/>
            </a:ext>
          </a:extLst>
        </xdr:cNvPr>
        <xdr:cNvCxnSpPr/>
      </xdr:nvCxnSpPr>
      <xdr:spPr>
        <a:xfrm rot="60000">
          <a:off x="8740656" y="7597589"/>
          <a:ext cx="11206" cy="30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560294</xdr:colOff>
      <xdr:row>26</xdr:row>
      <xdr:rowOff>22412</xdr:rowOff>
    </xdr:from>
    <xdr:to>
      <xdr:col>9</xdr:col>
      <xdr:colOff>1042147</xdr:colOff>
      <xdr:row>26</xdr:row>
      <xdr:rowOff>414617</xdr:rowOff>
    </xdr:to>
    <xdr:sp macro="" textlink="">
      <xdr:nvSpPr>
        <xdr:cNvPr id="89" name="Multiplication Sign 88">
          <a:extLst>
            <a:ext uri="{FF2B5EF4-FFF2-40B4-BE49-F238E27FC236}">
              <a16:creationId xmlns:a16="http://schemas.microsoft.com/office/drawing/2014/main" id="{00000000-0008-0000-0500-000059000000}"/>
            </a:ext>
          </a:extLst>
        </xdr:cNvPr>
        <xdr:cNvSpPr/>
      </xdr:nvSpPr>
      <xdr:spPr>
        <a:xfrm>
          <a:off x="11508441" y="5647765"/>
          <a:ext cx="481853" cy="392205"/>
        </a:xfrm>
        <a:prstGeom prst="mathMultiply">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 = '1.0' encoding = 'UTF-8' standalone = 'yes'?>
<Relationships xmlns="http://schemas.openxmlformats.org/package/2006/relationships">
   <Relationship Id="rId1" Type="http://schemas.openxmlformats.org/officeDocument/2006/relationships/externalLinkPath" TargetMode="External" Target="/EE%20in%20Food%20Manufacturing/Phases%201%20&amp;%202%20-%20Knowledge%20Base%20&amp;%20Solutions%20ID/Process/Phase%201%20Review/Potential%20Sub-Projects/Food-Based%20Biorefineries/Bio-Bean%20Comparison.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ioBean"/>
      <sheetName val="Closed Loop"/>
      <sheetName val="Sheet4"/>
    </sheetNames>
    <sheetDataSet>
      <sheetData sheetId="0">
        <row r="3">
          <cell r="C3">
            <v>100</v>
          </cell>
        </row>
        <row r="5">
          <cell r="C5">
            <v>15</v>
          </cell>
        </row>
        <row r="7">
          <cell r="C7">
            <v>0.44</v>
          </cell>
        </row>
        <row r="8">
          <cell r="C8">
            <v>4.4000000000000004E-2</v>
          </cell>
        </row>
        <row r="11">
          <cell r="C11">
            <v>250</v>
          </cell>
        </row>
        <row r="13">
          <cell r="C13">
            <v>3</v>
          </cell>
        </row>
        <row r="14">
          <cell r="C14">
            <v>3.6</v>
          </cell>
        </row>
        <row r="15">
          <cell r="C15">
            <v>9360</v>
          </cell>
        </row>
        <row r="16">
          <cell r="C16">
            <v>2.5000000000000001E-2</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 = '1.0' encoding = 'UTF-8' standalone = 'yes'?>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 = '1.0' encoding = 'UTF-8' standalone = 'yes'?>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 = '1.0' encoding = 'UTF-8' standalone = 'yes'?>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 = '1.0' encoding = 'UTF-8' standalone = 'yes'?>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 = '1.0' encoding = 'UTF-8' standalone = 'yes'?>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 = '1.0' encoding = 'UTF-8' standalone = 'yes'?>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omments" Target="../comments1.xml"/>
</Relationships>
</file>

<file path=xl/worksheets/_rels/sheet7.xml.rels><?xml version = '1.0' encoding = 'UTF-8' standalone = 'yes'?>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 = '1.0' encoding = 'UTF-8' standalone = 'yes'?>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9.xml.rels><?xml version = '1.0' encoding = 'UTF-8' standalone = 'yes'?>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4"/>
  <sheetViews>
    <sheetView tabSelected="1" zoomScaleNormal="100" workbookViewId="0">
      <selection activeCell="H8" sqref="H8"/>
    </sheetView>
  </sheetViews>
  <sheetFormatPr defaultColWidth="9.109375" defaultRowHeight="15.65" x14ac:dyDescent="0.3"/>
  <cols>
    <col min="1" max="1" style="1" width="9.109375" collapsed="true"/>
    <col min="2" max="2" customWidth="true" style="1" width="9.44140625" collapsed="true"/>
    <col min="3" max="16384" style="1" width="9.109375" collapsed="true"/>
  </cols>
  <sheetData>
    <row r="3" spans="2:2" x14ac:dyDescent="0.3">
      <c r="B3" s="2"/>
    </row>
    <row r="4" spans="2:2" x14ac:dyDescent="0.3">
      <c r="B4" s="159"/>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3:E93"/>
  <sheetViews>
    <sheetView topLeftCell="A13" workbookViewId="0">
      <selection activeCell="C37" sqref="C37"/>
    </sheetView>
  </sheetViews>
  <sheetFormatPr defaultColWidth="9.109375" defaultRowHeight="15.65" x14ac:dyDescent="0.2"/>
  <cols>
    <col min="1" max="1" style="3" width="9.109375" collapsed="true"/>
    <col min="2" max="2" customWidth="true" style="3" width="34.33203125" collapsed="true"/>
    <col min="3" max="3" bestFit="true" customWidth="true" style="3" width="9.5546875" collapsed="true"/>
    <col min="4" max="4" style="4" width="9.109375" collapsed="true"/>
    <col min="5" max="16384" style="3" width="9.109375" collapsed="true"/>
  </cols>
  <sheetData>
    <row r="3" spans="2:5" x14ac:dyDescent="0.2">
      <c r="B3" s="21" t="s">
        <v>29</v>
      </c>
      <c r="C3" s="6" t="s">
        <v>7</v>
      </c>
      <c r="D3" s="6" t="s">
        <v>8</v>
      </c>
    </row>
    <row r="4" spans="2:5" x14ac:dyDescent="0.2">
      <c r="B4" s="3" t="s">
        <v>18</v>
      </c>
      <c r="C4" s="19">
        <v>3.6</v>
      </c>
      <c r="D4" s="4" t="s">
        <v>12</v>
      </c>
    </row>
    <row r="5" spans="2:5" x14ac:dyDescent="0.2">
      <c r="B5" s="3" t="s">
        <v>188</v>
      </c>
      <c r="C5" s="3">
        <v>4</v>
      </c>
      <c r="D5" s="4" t="s">
        <v>11</v>
      </c>
    </row>
    <row r="6" spans="2:5" x14ac:dyDescent="0.2">
      <c r="B6" s="3" t="s">
        <v>41</v>
      </c>
      <c r="C6" s="3">
        <v>375</v>
      </c>
      <c r="D6" s="4" t="s">
        <v>12</v>
      </c>
    </row>
    <row r="7" spans="2:5" x14ac:dyDescent="0.2">
      <c r="B7" s="3" t="s">
        <v>20</v>
      </c>
      <c r="C7" s="3">
        <v>1.204</v>
      </c>
      <c r="D7" s="4" t="s">
        <v>21</v>
      </c>
      <c r="E7" s="3" t="s">
        <v>23</v>
      </c>
    </row>
    <row r="8" spans="2:5" x14ac:dyDescent="0.2">
      <c r="B8" s="3" t="s">
        <v>26</v>
      </c>
      <c r="C8" s="3">
        <v>3600</v>
      </c>
      <c r="D8" s="4" t="s">
        <v>27</v>
      </c>
      <c r="E8" s="3" t="s">
        <v>28</v>
      </c>
    </row>
    <row r="9" spans="2:5" x14ac:dyDescent="0.2">
      <c r="B9" s="3" t="s">
        <v>43</v>
      </c>
      <c r="C9" s="3">
        <v>4.226</v>
      </c>
      <c r="D9" s="4" t="s">
        <v>42</v>
      </c>
      <c r="E9" s="3" t="s">
        <v>22</v>
      </c>
    </row>
    <row r="10" spans="2:5" x14ac:dyDescent="0.2">
      <c r="B10" s="3" t="s">
        <v>47</v>
      </c>
      <c r="C10" s="3">
        <v>4.2480000000000002</v>
      </c>
      <c r="D10" s="4" t="s">
        <v>42</v>
      </c>
      <c r="E10" s="3" t="s">
        <v>22</v>
      </c>
    </row>
    <row r="11" spans="2:5" x14ac:dyDescent="0.2">
      <c r="B11" s="3" t="s">
        <v>258</v>
      </c>
      <c r="C11" s="3">
        <v>1.75</v>
      </c>
      <c r="D11" s="4" t="s">
        <v>42</v>
      </c>
      <c r="E11" s="3" t="s">
        <v>259</v>
      </c>
    </row>
    <row r="14" spans="2:5" x14ac:dyDescent="0.2">
      <c r="B14" s="3" t="s">
        <v>50</v>
      </c>
      <c r="C14" s="25">
        <f>'SCG Composition'!L8</f>
        <v>0.124</v>
      </c>
      <c r="D14" s="4" t="s">
        <v>51</v>
      </c>
      <c r="E14" s="3" t="s">
        <v>185</v>
      </c>
    </row>
    <row r="15" spans="2:5" x14ac:dyDescent="0.2">
      <c r="B15" s="3" t="s">
        <v>52</v>
      </c>
      <c r="C15" s="25">
        <f>'SCG Composition'!L9</f>
        <v>0.39100000000000001</v>
      </c>
      <c r="D15" s="4" t="s">
        <v>51</v>
      </c>
      <c r="E15" s="3" t="s">
        <v>185</v>
      </c>
    </row>
    <row r="16" spans="2:5" x14ac:dyDescent="0.2">
      <c r="B16" s="3" t="s">
        <v>53</v>
      </c>
      <c r="C16" s="25">
        <f>'SCG Composition'!L14</f>
        <v>0.23899999999999999</v>
      </c>
      <c r="D16" s="4" t="s">
        <v>51</v>
      </c>
      <c r="E16" s="3" t="s">
        <v>185</v>
      </c>
    </row>
    <row r="17" spans="2:5" x14ac:dyDescent="0.2">
      <c r="B17" s="26" t="s">
        <v>54</v>
      </c>
      <c r="C17" s="25">
        <f>'SCG Composition'!L15</f>
        <v>0.1759</v>
      </c>
      <c r="D17" s="4" t="s">
        <v>51</v>
      </c>
      <c r="E17" s="3" t="s">
        <v>185</v>
      </c>
    </row>
    <row r="18" spans="2:5" x14ac:dyDescent="0.2">
      <c r="B18" s="26" t="s">
        <v>55</v>
      </c>
      <c r="C18" s="25">
        <f>'SCG Composition'!L16</f>
        <v>6.3099999999999989E-2</v>
      </c>
      <c r="D18" s="4" t="s">
        <v>51</v>
      </c>
      <c r="E18" s="3" t="s">
        <v>185</v>
      </c>
    </row>
    <row r="19" spans="2:5" x14ac:dyDescent="0.2">
      <c r="B19" s="16" t="s">
        <v>146</v>
      </c>
      <c r="C19" s="25">
        <v>0.15</v>
      </c>
      <c r="D19" s="4" t="s">
        <v>51</v>
      </c>
      <c r="E19" s="3" t="s">
        <v>148</v>
      </c>
    </row>
    <row r="20" spans="2:5" x14ac:dyDescent="0.2">
      <c r="B20" s="16" t="s">
        <v>147</v>
      </c>
      <c r="C20" s="25">
        <v>0.05</v>
      </c>
      <c r="D20" s="4" t="s">
        <v>51</v>
      </c>
      <c r="E20" s="3" t="s">
        <v>148</v>
      </c>
    </row>
    <row r="21" spans="2:5" x14ac:dyDescent="0.2">
      <c r="B21" s="16" t="s">
        <v>109</v>
      </c>
      <c r="C21" s="25">
        <f>'SCG Composition'!L19</f>
        <v>0.1744</v>
      </c>
      <c r="D21" s="4" t="s">
        <v>51</v>
      </c>
      <c r="E21" s="3" t="s">
        <v>185</v>
      </c>
    </row>
    <row r="22" spans="2:5" x14ac:dyDescent="0.2">
      <c r="B22" s="16" t="s">
        <v>103</v>
      </c>
      <c r="C22" s="25">
        <f>'SCG Composition'!L17</f>
        <v>2.29E-2</v>
      </c>
      <c r="D22" s="4" t="s">
        <v>51</v>
      </c>
      <c r="E22" s="3" t="s">
        <v>185</v>
      </c>
    </row>
    <row r="23" spans="2:5" x14ac:dyDescent="0.2">
      <c r="B23" s="26"/>
      <c r="C23" s="25"/>
    </row>
    <row r="24" spans="2:5" x14ac:dyDescent="0.2">
      <c r="B24" s="16" t="s">
        <v>195</v>
      </c>
      <c r="C24" s="25">
        <v>3.0000000000000001E-3</v>
      </c>
      <c r="D24" s="4" t="s">
        <v>51</v>
      </c>
      <c r="E24" s="3" t="s">
        <v>199</v>
      </c>
    </row>
    <row r="25" spans="2:5" x14ac:dyDescent="0.2">
      <c r="B25" s="16" t="s">
        <v>198</v>
      </c>
      <c r="C25" s="25">
        <v>0.84099999999999997</v>
      </c>
      <c r="D25" s="4" t="s">
        <v>51</v>
      </c>
      <c r="E25" s="3" t="s">
        <v>197</v>
      </c>
    </row>
    <row r="26" spans="2:5" x14ac:dyDescent="0.2">
      <c r="B26" s="26"/>
      <c r="C26" s="25"/>
    </row>
    <row r="27" spans="2:5" x14ac:dyDescent="0.2">
      <c r="B27" s="21" t="s">
        <v>30</v>
      </c>
    </row>
    <row r="28" spans="2:5" x14ac:dyDescent="0.2">
      <c r="B28" s="3" t="s">
        <v>245</v>
      </c>
      <c r="C28" s="3">
        <v>0.125</v>
      </c>
      <c r="D28" s="3" t="s">
        <v>246</v>
      </c>
    </row>
    <row r="29" spans="2:5" x14ac:dyDescent="0.2">
      <c r="B29" s="3" t="s">
        <v>247</v>
      </c>
      <c r="C29" s="3">
        <v>4</v>
      </c>
      <c r="D29" s="3" t="s">
        <v>11</v>
      </c>
    </row>
    <row r="30" spans="2:5" x14ac:dyDescent="0.2">
      <c r="B30" s="3" t="s">
        <v>248</v>
      </c>
      <c r="C30" s="3">
        <v>6</v>
      </c>
      <c r="D30" s="3"/>
    </row>
    <row r="31" spans="2:5" x14ac:dyDescent="0.2">
      <c r="B31" s="3" t="s">
        <v>249</v>
      </c>
      <c r="C31" s="3">
        <v>250</v>
      </c>
      <c r="D31" s="3"/>
    </row>
    <row r="32" spans="2:5" x14ac:dyDescent="0.2">
      <c r="B32" s="3" t="s">
        <v>405</v>
      </c>
      <c r="C32" s="3">
        <f>C30*C31</f>
        <v>1500</v>
      </c>
      <c r="D32" s="3"/>
    </row>
    <row r="33" spans="2:5" x14ac:dyDescent="0.2">
      <c r="B33" s="3" t="s">
        <v>250</v>
      </c>
      <c r="C33" s="3">
        <f>C29*C30*C31</f>
        <v>6000</v>
      </c>
      <c r="D33" s="3"/>
    </row>
    <row r="34" spans="2:5" x14ac:dyDescent="0.2">
      <c r="B34" s="3" t="s">
        <v>251</v>
      </c>
      <c r="C34" s="3">
        <f>C33*C28</f>
        <v>750</v>
      </c>
      <c r="D34" s="3" t="s">
        <v>157</v>
      </c>
    </row>
    <row r="35" spans="2:5" x14ac:dyDescent="0.2">
      <c r="B35" s="3" t="s">
        <v>257</v>
      </c>
      <c r="C35" s="3">
        <f>500/'P&amp;L Assumptions (TAD)'!Hours_per_cycle</f>
        <v>125</v>
      </c>
      <c r="D35" s="3" t="s">
        <v>136</v>
      </c>
    </row>
    <row r="36" spans="2:5" x14ac:dyDescent="0.2">
      <c r="B36" s="3" t="s">
        <v>189</v>
      </c>
      <c r="C36" s="20">
        <f>SCG_throughput*0.047</f>
        <v>5.875</v>
      </c>
      <c r="D36" s="3" t="s">
        <v>136</v>
      </c>
    </row>
    <row r="37" spans="2:5" x14ac:dyDescent="0.2">
      <c r="B37" s="3" t="s">
        <v>260</v>
      </c>
      <c r="C37" s="60">
        <f>((SCG_throughput+Quantity_of_Silverskin_input)*10)*0.8</f>
        <v>1047</v>
      </c>
      <c r="D37" s="3" t="s">
        <v>136</v>
      </c>
      <c r="E37" s="3" t="s">
        <v>261</v>
      </c>
    </row>
    <row r="38" spans="2:5" x14ac:dyDescent="0.2">
      <c r="B38" s="3" t="s">
        <v>224</v>
      </c>
      <c r="E38" s="3" t="s">
        <v>223</v>
      </c>
    </row>
    <row r="40" spans="2:5" x14ac:dyDescent="0.2">
      <c r="B40" s="5" t="s">
        <v>56</v>
      </c>
    </row>
    <row r="41" spans="2:5" x14ac:dyDescent="0.2">
      <c r="B41" s="3" t="s">
        <v>186</v>
      </c>
    </row>
    <row r="42" spans="2:5" x14ac:dyDescent="0.2">
      <c r="B42" s="26" t="s">
        <v>33</v>
      </c>
      <c r="C42" s="25">
        <v>0.45800000000000002</v>
      </c>
      <c r="D42" s="4" t="s">
        <v>51</v>
      </c>
      <c r="E42" s="3" t="s">
        <v>182</v>
      </c>
    </row>
    <row r="43" spans="2:5" x14ac:dyDescent="0.2">
      <c r="B43" s="26" t="s">
        <v>57</v>
      </c>
      <c r="C43" s="25">
        <v>6.6000000000000003E-2</v>
      </c>
      <c r="D43" s="4" t="s">
        <v>51</v>
      </c>
      <c r="E43" s="3" t="s">
        <v>182</v>
      </c>
    </row>
    <row r="44" spans="2:5" x14ac:dyDescent="0.2">
      <c r="B44" s="26" t="s">
        <v>58</v>
      </c>
      <c r="C44" s="25">
        <v>5.8000000000000003E-2</v>
      </c>
      <c r="D44" s="4" t="s">
        <v>51</v>
      </c>
      <c r="E44" s="3" t="s">
        <v>182</v>
      </c>
    </row>
    <row r="45" spans="2:5" x14ac:dyDescent="0.2">
      <c r="B45" s="26" t="s">
        <v>179</v>
      </c>
      <c r="C45" s="25">
        <v>5.0000000000000001E-3</v>
      </c>
      <c r="D45" s="4" t="s">
        <v>51</v>
      </c>
      <c r="E45" s="3" t="s">
        <v>182</v>
      </c>
    </row>
    <row r="46" spans="2:5" x14ac:dyDescent="0.2">
      <c r="B46" s="26" t="s">
        <v>109</v>
      </c>
      <c r="C46" s="25">
        <v>0.98</v>
      </c>
      <c r="D46" s="4" t="s">
        <v>51</v>
      </c>
      <c r="E46" s="3" t="s">
        <v>190</v>
      </c>
    </row>
    <row r="47" spans="2:5" x14ac:dyDescent="0.2">
      <c r="B47" s="26" t="s">
        <v>103</v>
      </c>
      <c r="C47" s="25"/>
    </row>
    <row r="48" spans="2:5" x14ac:dyDescent="0.2">
      <c r="B48" s="26"/>
      <c r="C48" s="25"/>
    </row>
    <row r="49" spans="2:4" x14ac:dyDescent="0.2">
      <c r="B49" s="16" t="s">
        <v>187</v>
      </c>
      <c r="C49" s="25"/>
    </row>
    <row r="50" spans="2:4" x14ac:dyDescent="0.2">
      <c r="B50" s="26" t="s">
        <v>33</v>
      </c>
      <c r="C50" s="50">
        <f>(SCG_throughput*SCG_Cellulose_fraction*C_yield_ionosolv)+(Quantity_of_Silverskin_input*'SCG Composition'!N8*C_yield_ionosolv)</f>
        <v>7.7385912750000001</v>
      </c>
      <c r="D50" s="4" t="s">
        <v>136</v>
      </c>
    </row>
    <row r="51" spans="2:4" x14ac:dyDescent="0.2">
      <c r="B51" s="26" t="s">
        <v>57</v>
      </c>
      <c r="C51" s="50">
        <f>(SCG_throughput*SCG_Hemicellulose_fraction*H_yield_ionosolv)+(Quantity_of_Silverskin_input*'SCG Composition'!N9*H_yield_ionosolv)</f>
        <v>3.2904267000000003</v>
      </c>
      <c r="D51" s="4" t="s">
        <v>136</v>
      </c>
    </row>
    <row r="52" spans="2:4" x14ac:dyDescent="0.2">
      <c r="B52" s="26" t="s">
        <v>58</v>
      </c>
      <c r="C52" s="50">
        <f>(SCG_throughput*SCG_Lignin_fraction*L_yield_ionosolv)+(Quantity_of_Silverskin_input*'SCG Composition'!N14*L_yield_ionosolv)</f>
        <v>1.8301363500000001</v>
      </c>
      <c r="D52" s="4" t="s">
        <v>136</v>
      </c>
    </row>
    <row r="53" spans="2:4" x14ac:dyDescent="0.2">
      <c r="B53" s="26" t="s">
        <v>179</v>
      </c>
      <c r="C53" s="50"/>
    </row>
    <row r="54" spans="2:4" x14ac:dyDescent="0.2">
      <c r="B54" s="26" t="s">
        <v>109</v>
      </c>
      <c r="C54" s="50">
        <f>(SCG_throughput*C21*Protein_yield_ionosolv)+(Quantity_of_Silverskin_input*'SCG Composition'!N19*Protein_yield_ionosolv)</f>
        <v>22.440076749999999</v>
      </c>
      <c r="D54" s="4" t="s">
        <v>136</v>
      </c>
    </row>
    <row r="55" spans="2:4" x14ac:dyDescent="0.2">
      <c r="B55" s="26" t="s">
        <v>103</v>
      </c>
      <c r="C55" s="50"/>
    </row>
    <row r="56" spans="2:4" x14ac:dyDescent="0.2">
      <c r="B56" s="16" t="s">
        <v>191</v>
      </c>
      <c r="C56" s="50">
        <f>SUM(C50:C55)</f>
        <v>35.299231075000002</v>
      </c>
      <c r="D56" s="4" t="s">
        <v>136</v>
      </c>
    </row>
    <row r="57" spans="2:4" x14ac:dyDescent="0.2">
      <c r="B57" s="16"/>
      <c r="C57" s="50"/>
    </row>
    <row r="58" spans="2:4" x14ac:dyDescent="0.2">
      <c r="B58" s="16" t="s">
        <v>194</v>
      </c>
      <c r="C58" s="50"/>
    </row>
    <row r="59" spans="2:4" x14ac:dyDescent="0.2">
      <c r="B59" s="26" t="s">
        <v>33</v>
      </c>
      <c r="C59" s="49">
        <f>1-C_yield_ionosolv</f>
        <v>0.54200000000000004</v>
      </c>
      <c r="D59" s="4" t="s">
        <v>51</v>
      </c>
    </row>
    <row r="60" spans="2:4" x14ac:dyDescent="0.2">
      <c r="B60" s="26" t="s">
        <v>57</v>
      </c>
      <c r="C60" s="49">
        <f>1-H_yield_ionosolv</f>
        <v>0.93399999999999994</v>
      </c>
      <c r="D60" s="4" t="s">
        <v>51</v>
      </c>
    </row>
    <row r="61" spans="2:4" x14ac:dyDescent="0.2">
      <c r="B61" s="26" t="s">
        <v>58</v>
      </c>
      <c r="C61" s="49">
        <f>1-L_yield_ionosolv</f>
        <v>0.94199999999999995</v>
      </c>
      <c r="D61" s="4" t="s">
        <v>51</v>
      </c>
    </row>
    <row r="62" spans="2:4" x14ac:dyDescent="0.2">
      <c r="B62" s="26" t="s">
        <v>179</v>
      </c>
      <c r="C62" s="49">
        <f>1-Ash_yield_ionosolv</f>
        <v>0.995</v>
      </c>
      <c r="D62" s="4" t="s">
        <v>51</v>
      </c>
    </row>
    <row r="63" spans="2:4" x14ac:dyDescent="0.2">
      <c r="B63" s="26" t="s">
        <v>109</v>
      </c>
      <c r="C63" s="49">
        <f>1-Protein_yield_ionosolv</f>
        <v>2.0000000000000018E-2</v>
      </c>
      <c r="D63" s="4" t="s">
        <v>51</v>
      </c>
    </row>
    <row r="64" spans="2:4" x14ac:dyDescent="0.2">
      <c r="B64" s="26" t="s">
        <v>103</v>
      </c>
      <c r="C64" s="49"/>
    </row>
    <row r="65" spans="2:5" x14ac:dyDescent="0.2">
      <c r="B65" s="16"/>
      <c r="C65" s="50"/>
    </row>
    <row r="66" spans="2:5" x14ac:dyDescent="0.2">
      <c r="B66" s="16" t="s">
        <v>192</v>
      </c>
      <c r="C66" s="50"/>
      <c r="E66" s="3" t="s">
        <v>193</v>
      </c>
    </row>
    <row r="67" spans="2:5" x14ac:dyDescent="0.2">
      <c r="B67" s="26" t="s">
        <v>33</v>
      </c>
      <c r="C67" s="50">
        <f>(SCG_throughput*SCG_Cellulose_fraction*C59)+(Quantity_of_Silverskin_input*'SCG Composition'!N8*Assumptions!C59)</f>
        <v>9.157896225</v>
      </c>
      <c r="D67" s="4" t="s">
        <v>136</v>
      </c>
    </row>
    <row r="68" spans="2:5" x14ac:dyDescent="0.2">
      <c r="B68" s="26" t="s">
        <v>57</v>
      </c>
      <c r="C68" s="50">
        <f>(SCG_throughput*SCG_Hemicellulose_fraction*C60)+(Quantity_of_Silverskin_input*'SCG Composition'!N9*Assumptions!C60)</f>
        <v>46.564523299999998</v>
      </c>
      <c r="D68" s="4" t="s">
        <v>136</v>
      </c>
    </row>
    <row r="69" spans="2:5" x14ac:dyDescent="0.2">
      <c r="B69" s="26" t="s">
        <v>58</v>
      </c>
      <c r="C69" s="50">
        <f>(SCG_throughput*SCG_Lignin_fraction*C61)+(Quantity_of_Silverskin_input*'SCG Composition'!N14*Assumptions!C61)</f>
        <v>29.723938649999997</v>
      </c>
      <c r="D69" s="4" t="s">
        <v>136</v>
      </c>
    </row>
    <row r="70" spans="2:5" x14ac:dyDescent="0.2">
      <c r="B70" s="26" t="s">
        <v>179</v>
      </c>
      <c r="C70" s="50"/>
    </row>
    <row r="71" spans="2:5" x14ac:dyDescent="0.2">
      <c r="B71" s="26" t="s">
        <v>109</v>
      </c>
      <c r="C71" s="50">
        <f>(SCG_throughput*C21*C63)+(Quantity_of_Silverskin_input*'SCG Composition'!N19*Assumptions!C63)</f>
        <v>0.45796075000000042</v>
      </c>
      <c r="D71" s="4" t="s">
        <v>136</v>
      </c>
    </row>
    <row r="72" spans="2:5" x14ac:dyDescent="0.2">
      <c r="B72" s="26" t="s">
        <v>103</v>
      </c>
      <c r="C72" s="50"/>
    </row>
    <row r="73" spans="2:5" x14ac:dyDescent="0.2">
      <c r="B73" s="16" t="s">
        <v>191</v>
      </c>
      <c r="C73" s="50">
        <f>SUM(C67:C72)</f>
        <v>85.904318924999998</v>
      </c>
      <c r="D73" s="4" t="s">
        <v>136</v>
      </c>
    </row>
    <row r="74" spans="2:5" x14ac:dyDescent="0.2">
      <c r="B74" s="16"/>
      <c r="C74" s="50"/>
    </row>
    <row r="75" spans="2:5" x14ac:dyDescent="0.2">
      <c r="B75" s="16" t="s">
        <v>196</v>
      </c>
      <c r="C75" s="25">
        <v>0.59599999999999997</v>
      </c>
      <c r="D75" s="4" t="s">
        <v>51</v>
      </c>
      <c r="E75" s="3" t="s">
        <v>227</v>
      </c>
    </row>
    <row r="76" spans="2:5" x14ac:dyDescent="0.2">
      <c r="B76" s="16"/>
      <c r="C76" s="50"/>
    </row>
    <row r="77" spans="2:5" x14ac:dyDescent="0.2">
      <c r="B77" s="5" t="s">
        <v>13</v>
      </c>
    </row>
    <row r="78" spans="2:5" x14ac:dyDescent="0.2">
      <c r="B78" s="3" t="s">
        <v>24</v>
      </c>
    </row>
    <row r="79" spans="2:5" x14ac:dyDescent="0.2">
      <c r="B79" s="18" t="s">
        <v>14</v>
      </c>
      <c r="C79" s="3">
        <v>11</v>
      </c>
      <c r="D79" s="4" t="s">
        <v>15</v>
      </c>
    </row>
    <row r="80" spans="2:5" x14ac:dyDescent="0.2">
      <c r="B80" s="18" t="s">
        <v>16</v>
      </c>
      <c r="C80" s="20">
        <f>(4*10)/60</f>
        <v>0.66666666666666663</v>
      </c>
      <c r="D80" s="4" t="s">
        <v>17</v>
      </c>
    </row>
    <row r="81" spans="2:5" x14ac:dyDescent="0.2">
      <c r="B81" s="18" t="s">
        <v>19</v>
      </c>
      <c r="C81" s="3">
        <f>(Cooling_fan_rating*Cooling_fan_time_on)*MJ_kWh</f>
        <v>26.4</v>
      </c>
      <c r="D81" s="4" t="s">
        <v>12</v>
      </c>
    </row>
    <row r="83" spans="2:5" x14ac:dyDescent="0.2">
      <c r="B83" s="3" t="s">
        <v>25</v>
      </c>
    </row>
    <row r="85" spans="2:5" x14ac:dyDescent="0.2">
      <c r="B85" s="3" t="s">
        <v>143</v>
      </c>
    </row>
    <row r="86" spans="2:5" x14ac:dyDescent="0.2">
      <c r="B86" s="18" t="s">
        <v>31</v>
      </c>
      <c r="C86" s="3">
        <v>4500</v>
      </c>
      <c r="D86" s="4" t="s">
        <v>27</v>
      </c>
    </row>
    <row r="87" spans="2:5" x14ac:dyDescent="0.2">
      <c r="B87" s="18" t="s">
        <v>32</v>
      </c>
      <c r="C87" s="3">
        <v>300</v>
      </c>
      <c r="D87" s="4" t="s">
        <v>33</v>
      </c>
      <c r="E87" s="3" t="s">
        <v>34</v>
      </c>
    </row>
    <row r="88" spans="2:5" x14ac:dyDescent="0.2">
      <c r="B88" s="18" t="s">
        <v>36</v>
      </c>
      <c r="C88" s="3">
        <v>1.0469999999999999</v>
      </c>
      <c r="D88" s="4" t="s">
        <v>35</v>
      </c>
      <c r="E88" s="3" t="s">
        <v>22</v>
      </c>
    </row>
    <row r="91" spans="2:5" x14ac:dyDescent="0.2">
      <c r="B91" s="18"/>
    </row>
    <row r="92" spans="2:5" x14ac:dyDescent="0.2">
      <c r="B92" s="18"/>
    </row>
    <row r="93" spans="2:5" x14ac:dyDescent="0.2">
      <c r="B93"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D3:O31"/>
  <sheetViews>
    <sheetView topLeftCell="A4" workbookViewId="0">
      <selection activeCell="K29" sqref="K29"/>
    </sheetView>
  </sheetViews>
  <sheetFormatPr defaultColWidth="9.109375" defaultRowHeight="15.65" x14ac:dyDescent="0.2"/>
  <cols>
    <col min="1" max="3" style="3" width="9.109375" collapsed="true"/>
    <col min="4" max="4" customWidth="true" style="3" width="27.0" collapsed="true"/>
    <col min="5" max="5" style="3" width="9.109375" collapsed="true"/>
    <col min="6" max="6" customWidth="true" style="3" width="11.5546875" collapsed="true"/>
    <col min="7" max="9" style="3" width="9.109375" collapsed="true"/>
    <col min="10" max="10" customWidth="true" style="3" width="22.88671875" collapsed="true"/>
    <col min="11" max="11" customWidth="true" style="3" width="18.0" collapsed="true"/>
    <col min="12" max="12" customWidth="true" style="3" width="13.109375" collapsed="true"/>
    <col min="13" max="13" customWidth="true" style="3" width="16.6640625" collapsed="true"/>
    <col min="14" max="14" customWidth="true" style="3" width="13.88671875" collapsed="true"/>
    <col min="15" max="16384" style="3" width="9.109375" collapsed="true"/>
  </cols>
  <sheetData>
    <row r="3" spans="4:14" x14ac:dyDescent="0.2">
      <c r="D3" s="28" t="s">
        <v>62</v>
      </c>
      <c r="E3" s="28"/>
      <c r="F3" s="28"/>
      <c r="J3" s="5" t="s">
        <v>63</v>
      </c>
    </row>
    <row r="4" spans="4:14" x14ac:dyDescent="0.2">
      <c r="D4" s="28"/>
      <c r="E4" s="28"/>
      <c r="F4" s="28"/>
    </row>
    <row r="5" spans="4:14" ht="47" x14ac:dyDescent="0.2">
      <c r="D5" s="29" t="s">
        <v>64</v>
      </c>
      <c r="E5" s="30" t="s">
        <v>65</v>
      </c>
      <c r="F5" s="30" t="s">
        <v>66</v>
      </c>
      <c r="J5" s="30" t="s">
        <v>67</v>
      </c>
      <c r="K5" s="29" t="s">
        <v>68</v>
      </c>
      <c r="L5" s="29"/>
      <c r="M5" s="28"/>
      <c r="N5" s="28"/>
    </row>
    <row r="6" spans="4:14" x14ac:dyDescent="0.2">
      <c r="D6" s="29" t="s">
        <v>69</v>
      </c>
      <c r="E6" s="28"/>
      <c r="F6" s="28"/>
      <c r="J6" s="28"/>
      <c r="K6" s="29" t="s">
        <v>70</v>
      </c>
      <c r="L6" s="29"/>
      <c r="M6" s="29" t="s">
        <v>71</v>
      </c>
      <c r="N6" s="28"/>
    </row>
    <row r="7" spans="4:14" x14ac:dyDescent="0.2">
      <c r="D7" s="28" t="s">
        <v>72</v>
      </c>
      <c r="E7" s="28">
        <v>15.4</v>
      </c>
      <c r="F7" s="28">
        <v>18.2</v>
      </c>
      <c r="J7" s="28"/>
      <c r="K7" s="29" t="s">
        <v>183</v>
      </c>
      <c r="L7" s="29" t="s">
        <v>184</v>
      </c>
      <c r="M7" s="29" t="s">
        <v>183</v>
      </c>
      <c r="N7" s="29" t="s">
        <v>184</v>
      </c>
    </row>
    <row r="8" spans="4:14" x14ac:dyDescent="0.2">
      <c r="D8" s="28" t="s">
        <v>76</v>
      </c>
      <c r="E8" s="28">
        <v>16.2</v>
      </c>
      <c r="F8" s="28">
        <v>0.3</v>
      </c>
      <c r="J8" s="28" t="s">
        <v>73</v>
      </c>
      <c r="K8" s="28" t="s">
        <v>74</v>
      </c>
      <c r="L8" s="47">
        <f>12.4/100</f>
        <v>0.124</v>
      </c>
      <c r="M8" s="28" t="s">
        <v>75</v>
      </c>
      <c r="N8" s="47">
        <f>23.77/100</f>
        <v>0.23769999999999999</v>
      </c>
    </row>
    <row r="9" spans="4:14" ht="47" x14ac:dyDescent="0.2">
      <c r="D9" s="31" t="s">
        <v>79</v>
      </c>
      <c r="E9" s="28">
        <v>45.2</v>
      </c>
      <c r="F9" s="28">
        <v>58.9</v>
      </c>
      <c r="J9" s="28" t="s">
        <v>44</v>
      </c>
      <c r="K9" s="28" t="s">
        <v>77</v>
      </c>
      <c r="L9" s="47">
        <f>39.1/100</f>
        <v>0.39100000000000001</v>
      </c>
      <c r="M9" s="28" t="s">
        <v>78</v>
      </c>
      <c r="N9" s="47">
        <f>16.68/100</f>
        <v>0.1668</v>
      </c>
    </row>
    <row r="10" spans="4:14" ht="31.3" x14ac:dyDescent="0.2">
      <c r="D10" s="31" t="s">
        <v>83</v>
      </c>
      <c r="E10" s="28">
        <v>29.8</v>
      </c>
      <c r="F10" s="28">
        <v>40.200000000000003</v>
      </c>
      <c r="J10" s="32" t="s">
        <v>80</v>
      </c>
      <c r="K10" s="28" t="s">
        <v>81</v>
      </c>
      <c r="L10" s="47">
        <f>3.6/100</f>
        <v>3.6000000000000004E-2</v>
      </c>
      <c r="M10" s="28" t="s">
        <v>82</v>
      </c>
      <c r="N10" s="47">
        <f>3.54/100</f>
        <v>3.5400000000000001E-2</v>
      </c>
    </row>
    <row r="11" spans="4:14" x14ac:dyDescent="0.2">
      <c r="D11" s="28" t="s">
        <v>87</v>
      </c>
      <c r="E11" s="28" t="s">
        <v>88</v>
      </c>
      <c r="F11" s="28" t="s">
        <v>89</v>
      </c>
      <c r="J11" s="32" t="s">
        <v>84</v>
      </c>
      <c r="K11" s="28" t="s">
        <v>85</v>
      </c>
      <c r="L11" s="47">
        <f>19.07/100</f>
        <v>0.19070000000000001</v>
      </c>
      <c r="M11" s="28" t="s">
        <v>86</v>
      </c>
      <c r="N11" s="47">
        <f>1.77/100</f>
        <v>1.77E-2</v>
      </c>
    </row>
    <row r="12" spans="4:14" x14ac:dyDescent="0.2">
      <c r="D12" s="28" t="s">
        <v>180</v>
      </c>
      <c r="E12" s="28"/>
      <c r="F12" s="28"/>
      <c r="J12" s="32" t="s">
        <v>90</v>
      </c>
      <c r="K12" s="28" t="s">
        <v>91</v>
      </c>
      <c r="L12" s="47">
        <f>16.43/100</f>
        <v>0.1643</v>
      </c>
      <c r="M12" s="28" t="s">
        <v>92</v>
      </c>
      <c r="N12" s="47">
        <f>3.76/100</f>
        <v>3.7599999999999995E-2</v>
      </c>
    </row>
    <row r="13" spans="4:14" x14ac:dyDescent="0.2">
      <c r="D13" s="33">
        <v>0.66666666666666663</v>
      </c>
      <c r="E13" s="28">
        <v>33.9</v>
      </c>
      <c r="F13" s="28" t="s">
        <v>96</v>
      </c>
      <c r="J13" s="32" t="s">
        <v>93</v>
      </c>
      <c r="K13" s="28" t="s">
        <v>94</v>
      </c>
      <c r="L13" s="47"/>
      <c r="M13" s="28" t="s">
        <v>95</v>
      </c>
      <c r="N13" s="47">
        <f>7.61/100</f>
        <v>7.6100000000000001E-2</v>
      </c>
    </row>
    <row r="14" spans="4:14" x14ac:dyDescent="0.2">
      <c r="D14" s="33">
        <v>0.75</v>
      </c>
      <c r="E14" s="28">
        <v>7.3</v>
      </c>
      <c r="F14" s="28" t="s">
        <v>96</v>
      </c>
      <c r="J14" s="28" t="s">
        <v>45</v>
      </c>
      <c r="K14" s="28" t="s">
        <v>97</v>
      </c>
      <c r="L14" s="47">
        <f>23.9/100</f>
        <v>0.23899999999999999</v>
      </c>
      <c r="M14" s="28" t="s">
        <v>98</v>
      </c>
      <c r="N14" s="47">
        <f>28.58/100</f>
        <v>0.2858</v>
      </c>
    </row>
    <row r="15" spans="4:14" x14ac:dyDescent="0.2">
      <c r="D15" s="33">
        <v>0.75069444444444444</v>
      </c>
      <c r="E15" s="28">
        <v>8.3000000000000007</v>
      </c>
      <c r="F15" s="28" t="s">
        <v>96</v>
      </c>
      <c r="J15" s="32" t="s">
        <v>54</v>
      </c>
      <c r="K15" s="28" t="s">
        <v>99</v>
      </c>
      <c r="L15" s="47">
        <f>17.59/100</f>
        <v>0.1759</v>
      </c>
      <c r="M15" s="28" t="s">
        <v>100</v>
      </c>
      <c r="N15" s="47">
        <f>20.97/100</f>
        <v>0.2097</v>
      </c>
    </row>
    <row r="16" spans="4:14" x14ac:dyDescent="0.2">
      <c r="D16" s="33">
        <v>0.75138888888888899</v>
      </c>
      <c r="E16" s="28">
        <v>45</v>
      </c>
      <c r="F16" s="28" t="s">
        <v>96</v>
      </c>
      <c r="J16" s="32" t="s">
        <v>55</v>
      </c>
      <c r="K16" s="28" t="s">
        <v>101</v>
      </c>
      <c r="L16" s="47">
        <f>6.31/100</f>
        <v>6.3099999999999989E-2</v>
      </c>
      <c r="M16" s="28" t="s">
        <v>102</v>
      </c>
      <c r="N16" s="47">
        <f>7.61/100</f>
        <v>7.6100000000000001E-2</v>
      </c>
    </row>
    <row r="17" spans="4:15" x14ac:dyDescent="0.2">
      <c r="D17" s="33">
        <v>0.75208333333333333</v>
      </c>
      <c r="E17" s="28">
        <v>1.5</v>
      </c>
      <c r="F17" s="28" t="s">
        <v>96</v>
      </c>
      <c r="J17" s="28" t="s">
        <v>103</v>
      </c>
      <c r="K17" s="28" t="s">
        <v>104</v>
      </c>
      <c r="L17" s="47">
        <f>2.29/100</f>
        <v>2.29E-2</v>
      </c>
      <c r="M17" s="28" t="s">
        <v>105</v>
      </c>
      <c r="N17" s="47">
        <f>3.78/100</f>
        <v>3.78E-2</v>
      </c>
    </row>
    <row r="18" spans="4:15" x14ac:dyDescent="0.2">
      <c r="D18" s="33">
        <v>0.83333333333333337</v>
      </c>
      <c r="E18" s="28">
        <v>2.5</v>
      </c>
      <c r="F18" s="28" t="s">
        <v>96</v>
      </c>
      <c r="J18" s="28" t="s">
        <v>106</v>
      </c>
      <c r="K18" s="28" t="s">
        <v>107</v>
      </c>
      <c r="L18" s="47">
        <f>1.3/100</f>
        <v>1.3000000000000001E-2</v>
      </c>
      <c r="M18" s="28" t="s">
        <v>108</v>
      </c>
      <c r="N18" s="47">
        <f>5.36/100</f>
        <v>5.3600000000000002E-2</v>
      </c>
    </row>
    <row r="19" spans="4:15" x14ac:dyDescent="0.2">
      <c r="D19" s="33">
        <v>0.8340277777777777</v>
      </c>
      <c r="E19" s="28">
        <v>0.4</v>
      </c>
      <c r="F19" s="28" t="s">
        <v>96</v>
      </c>
      <c r="J19" s="28" t="s">
        <v>109</v>
      </c>
      <c r="K19" s="28" t="s">
        <v>110</v>
      </c>
      <c r="L19" s="47">
        <f>17.44/100</f>
        <v>0.1744</v>
      </c>
      <c r="M19" s="28" t="s">
        <v>111</v>
      </c>
      <c r="N19" s="49">
        <f>18.69/100</f>
        <v>0.18690000000000001</v>
      </c>
      <c r="O19" s="28"/>
    </row>
    <row r="20" spans="4:15" x14ac:dyDescent="0.2">
      <c r="D20" s="33">
        <v>0.91666666666666663</v>
      </c>
      <c r="E20" s="28">
        <v>0.6</v>
      </c>
      <c r="F20" s="28" t="s">
        <v>96</v>
      </c>
      <c r="J20" s="35" t="s">
        <v>112</v>
      </c>
      <c r="K20" s="35" t="s">
        <v>113</v>
      </c>
      <c r="L20" s="48">
        <f>2.79/100</f>
        <v>2.7900000000000001E-2</v>
      </c>
      <c r="M20" s="35" t="s">
        <v>114</v>
      </c>
      <c r="N20" s="47">
        <f>2.99/100</f>
        <v>2.9900000000000003E-2</v>
      </c>
    </row>
    <row r="21" spans="4:15" ht="31.3" x14ac:dyDescent="0.2">
      <c r="D21" s="28" t="s">
        <v>118</v>
      </c>
      <c r="E21" s="28" t="s">
        <v>119</v>
      </c>
      <c r="F21" s="28"/>
      <c r="J21" s="36" t="s">
        <v>115</v>
      </c>
      <c r="K21" s="35" t="s">
        <v>116</v>
      </c>
      <c r="L21" s="48">
        <f>16.91/100</f>
        <v>0.1691</v>
      </c>
      <c r="M21" s="35" t="s">
        <v>117</v>
      </c>
      <c r="N21" s="47">
        <f>14.41/100</f>
        <v>0.14410000000000001</v>
      </c>
    </row>
    <row r="22" spans="4:15" x14ac:dyDescent="0.2">
      <c r="D22" s="28" t="s">
        <v>33</v>
      </c>
      <c r="E22" s="28">
        <v>56.1</v>
      </c>
      <c r="F22" s="28">
        <v>51.8</v>
      </c>
      <c r="J22" s="35" t="s">
        <v>120</v>
      </c>
      <c r="K22" s="35" t="s">
        <v>121</v>
      </c>
      <c r="L22" s="48">
        <f>60.46/100</f>
        <v>0.60460000000000003</v>
      </c>
      <c r="M22" s="35" t="s">
        <v>122</v>
      </c>
      <c r="N22" s="47">
        <f>54.11/100</f>
        <v>0.54110000000000003</v>
      </c>
    </row>
    <row r="23" spans="4:15" x14ac:dyDescent="0.2">
      <c r="D23" s="28" t="s">
        <v>57</v>
      </c>
      <c r="E23" s="28">
        <v>7.2</v>
      </c>
      <c r="F23" s="28">
        <v>6.3</v>
      </c>
      <c r="J23" s="37" t="s">
        <v>54</v>
      </c>
      <c r="K23" s="35" t="s">
        <v>123</v>
      </c>
      <c r="L23" s="48">
        <f>50.78/100</f>
        <v>0.50780000000000003</v>
      </c>
      <c r="M23" s="35" t="s">
        <v>124</v>
      </c>
      <c r="N23" s="47">
        <f>45.98/100</f>
        <v>0.45979999999999999</v>
      </c>
    </row>
    <row r="24" spans="4:15" x14ac:dyDescent="0.2">
      <c r="D24" s="28" t="s">
        <v>127</v>
      </c>
      <c r="E24" s="28">
        <v>2.4</v>
      </c>
      <c r="F24" s="28">
        <v>2.8</v>
      </c>
      <c r="J24" s="37" t="s">
        <v>55</v>
      </c>
      <c r="K24" s="35" t="s">
        <v>125</v>
      </c>
      <c r="L24" s="48">
        <f>9.68/100</f>
        <v>9.6799999999999997E-2</v>
      </c>
      <c r="M24" s="35" t="s">
        <v>126</v>
      </c>
      <c r="N24" s="47">
        <f>8.16/100</f>
        <v>8.1600000000000006E-2</v>
      </c>
    </row>
    <row r="25" spans="4:15" x14ac:dyDescent="0.2">
      <c r="D25" s="28" t="s">
        <v>128</v>
      </c>
      <c r="E25" s="28">
        <v>34</v>
      </c>
      <c r="F25" s="28">
        <v>38.799999999999997</v>
      </c>
      <c r="J25" s="34" t="s">
        <v>132</v>
      </c>
    </row>
    <row r="26" spans="4:15" x14ac:dyDescent="0.2">
      <c r="D26" s="28" t="s">
        <v>130</v>
      </c>
      <c r="E26" s="28">
        <v>0.14000000000000001</v>
      </c>
      <c r="F26" s="28">
        <v>0.17</v>
      </c>
      <c r="J26" s="3" t="s">
        <v>129</v>
      </c>
    </row>
    <row r="27" spans="4:15" x14ac:dyDescent="0.2">
      <c r="D27" s="28" t="s">
        <v>131</v>
      </c>
      <c r="E27" s="28">
        <v>0.18</v>
      </c>
      <c r="F27" s="28">
        <v>0.17</v>
      </c>
      <c r="J27" s="3" t="s">
        <v>546</v>
      </c>
    </row>
    <row r="28" spans="4:15" x14ac:dyDescent="0.2">
      <c r="D28" s="28" t="s">
        <v>133</v>
      </c>
      <c r="E28" s="28">
        <v>23.4</v>
      </c>
      <c r="F28" s="28">
        <v>20.100000000000001</v>
      </c>
    </row>
    <row r="30" spans="4:15" x14ac:dyDescent="0.2">
      <c r="D30" s="3" t="s">
        <v>235</v>
      </c>
    </row>
    <row r="31" spans="4:15" x14ac:dyDescent="0.2">
      <c r="D31" s="3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4"/>
  <sheetViews>
    <sheetView workbookViewId="0">
      <selection activeCell="E5" sqref="E5"/>
    </sheetView>
  </sheetViews>
  <sheetFormatPr defaultColWidth="9.109375" defaultRowHeight="15.05" x14ac:dyDescent="0.3"/>
  <cols>
    <col min="1" max="1" customWidth="true" style="71" width="33.44140625" collapsed="true"/>
    <col min="2" max="11" style="71" width="9.109375" collapsed="true"/>
    <col min="12" max="12" bestFit="true" customWidth="true" style="71" width="15.33203125" collapsed="true"/>
    <col min="13" max="16" style="71" width="9.109375" collapsed="true"/>
    <col min="17" max="17" customWidth="true" style="71" width="10.88671875" collapsed="true"/>
    <col min="18" max="16384" style="71" width="9.109375" collapsed="true"/>
  </cols>
  <sheetData>
    <row r="1" spans="1:9" x14ac:dyDescent="0.3">
      <c r="A1" s="70"/>
      <c r="B1" s="202" t="s">
        <v>266</v>
      </c>
      <c r="C1" s="202"/>
      <c r="D1" s="202"/>
      <c r="E1" s="202"/>
      <c r="F1" s="201"/>
      <c r="G1" s="201"/>
      <c r="H1" s="201"/>
      <c r="I1" s="201"/>
    </row>
    <row r="2" spans="1:9" x14ac:dyDescent="0.3">
      <c r="A2" s="72" t="s">
        <v>267</v>
      </c>
      <c r="B2" s="73" t="s">
        <v>268</v>
      </c>
      <c r="C2" s="73" t="s">
        <v>269</v>
      </c>
      <c r="D2" s="74" t="s">
        <v>3</v>
      </c>
      <c r="E2" s="73" t="s">
        <v>270</v>
      </c>
      <c r="F2" s="73" t="s">
        <v>368</v>
      </c>
      <c r="G2" s="75"/>
      <c r="H2" s="76"/>
      <c r="I2" s="75"/>
    </row>
    <row r="3" spans="1:9" x14ac:dyDescent="0.3">
      <c r="A3" s="77" t="s">
        <v>271</v>
      </c>
      <c r="B3" s="77">
        <f>RD</f>
        <v>500</v>
      </c>
      <c r="C3" s="77">
        <f>RD*B27</f>
        <v>5.5</v>
      </c>
      <c r="D3" s="77">
        <f>B3*(PminusS)</f>
        <v>11</v>
      </c>
      <c r="E3" s="77">
        <f>B3*B37</f>
        <v>125</v>
      </c>
      <c r="F3" s="71">
        <f>B3-C3-D3-E3</f>
        <v>358.5</v>
      </c>
    </row>
    <row r="4" spans="1:9" x14ac:dyDescent="0.3">
      <c r="A4" s="77" t="s">
        <v>226</v>
      </c>
      <c r="B4" s="77"/>
      <c r="C4" s="77"/>
      <c r="D4" s="77"/>
      <c r="E4" s="78">
        <v>6</v>
      </c>
      <c r="G4" s="71" t="s">
        <v>272</v>
      </c>
    </row>
    <row r="5" spans="1:9" x14ac:dyDescent="0.3">
      <c r="A5" s="77" t="s">
        <v>273</v>
      </c>
      <c r="B5" s="77">
        <f>RD*X0</f>
        <v>55.5</v>
      </c>
      <c r="C5" s="77"/>
      <c r="D5" s="77">
        <f>B5</f>
        <v>55.5</v>
      </c>
      <c r="E5" s="77">
        <f>B38*E3</f>
        <v>43.75</v>
      </c>
    </row>
    <row r="6" spans="1:9" x14ac:dyDescent="0.3">
      <c r="A6" s="77" t="s">
        <v>274</v>
      </c>
      <c r="B6" s="79">
        <f>QSR*RD*(1+X0)/(1.12*(TF-TA))</f>
        <v>376.82367466517843</v>
      </c>
      <c r="C6" s="77"/>
      <c r="D6" s="77"/>
      <c r="E6" s="77"/>
    </row>
    <row r="7" spans="1:9" x14ac:dyDescent="0.3">
      <c r="A7" s="77" t="s">
        <v>275</v>
      </c>
      <c r="B7" s="77">
        <f>ARD*RD</f>
        <v>125</v>
      </c>
      <c r="C7" s="77"/>
      <c r="D7" s="77"/>
      <c r="E7" s="77"/>
    </row>
    <row r="8" spans="1:9" x14ac:dyDescent="0.3">
      <c r="A8" s="80"/>
      <c r="B8" s="80"/>
      <c r="C8" s="80"/>
      <c r="D8" s="80"/>
      <c r="E8" s="80"/>
    </row>
    <row r="9" spans="1:9" x14ac:dyDescent="0.3">
      <c r="A9" s="203" t="s">
        <v>276</v>
      </c>
      <c r="B9" s="203"/>
      <c r="C9" s="203"/>
      <c r="D9" s="203"/>
    </row>
    <row r="10" spans="1:9" x14ac:dyDescent="0.3">
      <c r="A10" s="70" t="s">
        <v>277</v>
      </c>
      <c r="B10" s="81">
        <f>(1-PminusS+S)*(1.099*(TBF-TB0)+0.0035*((TBF)^2-(TA)^2))</f>
        <v>426.17987999999997</v>
      </c>
      <c r="C10" s="82" t="s">
        <v>239</v>
      </c>
      <c r="D10" s="70" t="s">
        <v>278</v>
      </c>
    </row>
    <row r="11" spans="1:9" x14ac:dyDescent="0.3">
      <c r="A11" s="70" t="s">
        <v>279</v>
      </c>
      <c r="B11" s="81">
        <f>S*(1.099*(TCH-TA)+0.0035*((TCH)^2-(TA)^2))</f>
        <v>3.7006199999999994</v>
      </c>
      <c r="C11" s="82" t="s">
        <v>239</v>
      </c>
      <c r="D11" s="70" t="s">
        <v>280</v>
      </c>
    </row>
    <row r="12" spans="1:9" x14ac:dyDescent="0.3">
      <c r="A12" s="70" t="s">
        <v>281</v>
      </c>
      <c r="B12" s="81">
        <f>X0*(5*X0*(TM-TA)+ΔHvap+2.09*(TAB-TM))</f>
        <v>315.16229999999996</v>
      </c>
      <c r="C12" s="82" t="s">
        <v>239</v>
      </c>
      <c r="D12" s="70" t="s">
        <v>282</v>
      </c>
    </row>
    <row r="13" spans="1:9" x14ac:dyDescent="0.3">
      <c r="A13" s="70" t="s">
        <v>283</v>
      </c>
      <c r="B13" s="81">
        <f>ARD*CG*(TAB-TA)</f>
        <v>106.4</v>
      </c>
      <c r="C13" s="82" t="s">
        <v>239</v>
      </c>
      <c r="D13" s="70" t="s">
        <v>284</v>
      </c>
    </row>
    <row r="14" spans="1:9" x14ac:dyDescent="0.3">
      <c r="A14" s="70" t="s">
        <v>285</v>
      </c>
      <c r="B14" s="81">
        <f>PminusS*(1.099*(TPE-TA)+0.0035*((TPE)^2-(TA)^2)+CG*(TAB-TPE))</f>
        <v>12.900271999999999</v>
      </c>
      <c r="C14" s="82" t="s">
        <v>239</v>
      </c>
      <c r="D14" s="70" t="s">
        <v>286</v>
      </c>
    </row>
    <row r="15" spans="1:9" x14ac:dyDescent="0.3">
      <c r="A15" s="70" t="s">
        <v>287</v>
      </c>
      <c r="B15" s="81">
        <f>(TF-TA)*SUM(B10:B14)/((TF-TBF)*(1+X0))</f>
        <v>942.09310418541838</v>
      </c>
      <c r="C15" s="82" t="s">
        <v>239</v>
      </c>
      <c r="D15" s="70" t="s">
        <v>288</v>
      </c>
    </row>
    <row r="16" spans="1:9" x14ac:dyDescent="0.3">
      <c r="A16" s="70" t="s">
        <v>289</v>
      </c>
      <c r="B16" s="81">
        <f>(TF-TA)*(CG*0.073*(TAB-TA)+45)/((TF-TAB)*(1+X0))</f>
        <v>98.722408054758958</v>
      </c>
      <c r="C16" s="82" t="s">
        <v>239</v>
      </c>
      <c r="D16" s="70" t="s">
        <v>290</v>
      </c>
    </row>
    <row r="17" spans="1:13" x14ac:dyDescent="0.3">
      <c r="A17" s="70" t="s">
        <v>291</v>
      </c>
      <c r="B17" s="81">
        <f>QSR+B16</f>
        <v>1040.8155122401774</v>
      </c>
      <c r="C17" s="82" t="s">
        <v>239</v>
      </c>
      <c r="D17" s="70" t="s">
        <v>292</v>
      </c>
      <c r="F17" s="71">
        <f>B17/3.6</f>
        <v>289.11542006671596</v>
      </c>
      <c r="G17" s="164" t="s">
        <v>545</v>
      </c>
    </row>
    <row r="18" spans="1:13" x14ac:dyDescent="0.3">
      <c r="A18" s="70" t="s">
        <v>370</v>
      </c>
      <c r="B18" s="81">
        <f>B19+B16</f>
        <v>610.93501224017734</v>
      </c>
      <c r="C18" s="82" t="s">
        <v>239</v>
      </c>
      <c r="D18" s="70"/>
    </row>
    <row r="19" spans="1:13" x14ac:dyDescent="0.3">
      <c r="A19" s="70" t="s">
        <v>293</v>
      </c>
      <c r="B19" s="81">
        <f>QSR-B10-B11</f>
        <v>512.2126041854184</v>
      </c>
      <c r="C19" s="82" t="s">
        <v>239</v>
      </c>
      <c r="D19" s="70" t="s">
        <v>294</v>
      </c>
      <c r="F19" s="166"/>
      <c r="G19" s="164"/>
    </row>
    <row r="20" spans="1:13" x14ac:dyDescent="0.3">
      <c r="A20" s="70" t="s">
        <v>293</v>
      </c>
      <c r="B20" s="83">
        <f>B19*RD/1000</f>
        <v>256.1063020927092</v>
      </c>
      <c r="C20" s="84" t="s">
        <v>265</v>
      </c>
      <c r="D20" s="85" t="s">
        <v>295</v>
      </c>
      <c r="F20" s="166"/>
      <c r="G20" s="165"/>
    </row>
    <row r="23" spans="1:13" x14ac:dyDescent="0.3">
      <c r="A23" s="204" t="s">
        <v>296</v>
      </c>
      <c r="B23" s="204"/>
      <c r="C23" s="204"/>
      <c r="D23" s="204"/>
    </row>
    <row r="24" spans="1:13" x14ac:dyDescent="0.3">
      <c r="A24" s="86" t="s">
        <v>297</v>
      </c>
      <c r="B24" s="87">
        <f>'Balances (TAD)'!B21</f>
        <v>500</v>
      </c>
      <c r="C24" s="88" t="s">
        <v>136</v>
      </c>
      <c r="D24" s="89" t="s">
        <v>298</v>
      </c>
    </row>
    <row r="25" spans="1:13" x14ac:dyDescent="0.3">
      <c r="A25" s="86" t="s">
        <v>299</v>
      </c>
      <c r="B25" s="87">
        <v>0.111</v>
      </c>
      <c r="C25" s="88"/>
      <c r="D25" s="89" t="s">
        <v>300</v>
      </c>
      <c r="E25" s="71" t="s">
        <v>301</v>
      </c>
    </row>
    <row r="26" spans="1:13" x14ac:dyDescent="0.3">
      <c r="A26" s="86" t="s">
        <v>302</v>
      </c>
      <c r="B26" s="87">
        <f>'Balances (TAD)'!D10</f>
        <v>0.25</v>
      </c>
      <c r="C26" s="88"/>
      <c r="D26" s="89" t="s">
        <v>303</v>
      </c>
      <c r="E26" s="71" t="s">
        <v>304</v>
      </c>
    </row>
    <row r="27" spans="1:13" x14ac:dyDescent="0.3">
      <c r="A27" s="86" t="s">
        <v>305</v>
      </c>
      <c r="B27" s="90">
        <v>1.0999999999999999E-2</v>
      </c>
      <c r="C27" s="88"/>
      <c r="D27" s="89" t="s">
        <v>130</v>
      </c>
      <c r="E27" s="71" t="s">
        <v>306</v>
      </c>
    </row>
    <row r="28" spans="1:13" x14ac:dyDescent="0.3">
      <c r="A28" s="86" t="s">
        <v>307</v>
      </c>
      <c r="B28" s="87">
        <v>2.1999999999999999E-2</v>
      </c>
      <c r="C28" s="88"/>
      <c r="D28" s="89" t="s">
        <v>308</v>
      </c>
      <c r="E28" s="71" t="s">
        <v>309</v>
      </c>
    </row>
    <row r="29" spans="1:13" x14ac:dyDescent="0.3">
      <c r="A29" s="86" t="s">
        <v>310</v>
      </c>
      <c r="B29" s="87">
        <f>'Balances (TAD)'!B22</f>
        <v>20</v>
      </c>
      <c r="C29" s="88" t="s">
        <v>311</v>
      </c>
      <c r="D29" s="89" t="s">
        <v>312</v>
      </c>
    </row>
    <row r="30" spans="1:13" x14ac:dyDescent="0.3">
      <c r="A30" s="86" t="s">
        <v>313</v>
      </c>
      <c r="B30" s="87">
        <v>20</v>
      </c>
      <c r="C30" s="88" t="s">
        <v>311</v>
      </c>
      <c r="D30" s="89" t="s">
        <v>314</v>
      </c>
    </row>
    <row r="31" spans="1:13" x14ac:dyDescent="0.3">
      <c r="A31" s="86" t="s">
        <v>315</v>
      </c>
      <c r="B31" s="87">
        <v>160</v>
      </c>
      <c r="C31" s="88" t="s">
        <v>311</v>
      </c>
      <c r="D31" s="89" t="s">
        <v>316</v>
      </c>
    </row>
    <row r="32" spans="1:13" x14ac:dyDescent="0.3">
      <c r="A32" s="86" t="s">
        <v>317</v>
      </c>
      <c r="B32" s="87">
        <v>200</v>
      </c>
      <c r="C32" s="88" t="s">
        <v>311</v>
      </c>
      <c r="D32" s="89" t="s">
        <v>318</v>
      </c>
      <c r="L32" s="201" t="s">
        <v>362</v>
      </c>
      <c r="M32" s="201"/>
    </row>
    <row r="33" spans="1:17" x14ac:dyDescent="0.3">
      <c r="A33" s="86" t="s">
        <v>319</v>
      </c>
      <c r="B33" s="87">
        <f>(200+TBF)/2</f>
        <v>218</v>
      </c>
      <c r="C33" s="88" t="s">
        <v>311</v>
      </c>
      <c r="D33" s="89" t="s">
        <v>320</v>
      </c>
      <c r="L33" s="71" t="s">
        <v>361</v>
      </c>
      <c r="M33" s="71">
        <v>214</v>
      </c>
      <c r="P33" s="121" t="s">
        <v>181</v>
      </c>
      <c r="Q33" s="121" t="s">
        <v>389</v>
      </c>
    </row>
    <row r="34" spans="1:17" x14ac:dyDescent="0.3">
      <c r="A34" s="86" t="s">
        <v>321</v>
      </c>
      <c r="B34" s="87">
        <f>'Balances (TAD)'!D21</f>
        <v>236</v>
      </c>
      <c r="C34" s="88" t="s">
        <v>311</v>
      </c>
      <c r="D34" s="89" t="s">
        <v>322</v>
      </c>
      <c r="E34" s="71" t="s">
        <v>323</v>
      </c>
      <c r="L34" s="71" t="s">
        <v>363</v>
      </c>
      <c r="M34" s="71">
        <v>236</v>
      </c>
      <c r="P34" s="121" t="s">
        <v>10</v>
      </c>
      <c r="Q34" s="121" t="s">
        <v>390</v>
      </c>
    </row>
    <row r="35" spans="1:17" x14ac:dyDescent="0.3">
      <c r="A35" s="86" t="s">
        <v>324</v>
      </c>
      <c r="B35" s="87">
        <f>'Balances (TAD)'!D9</f>
        <v>400</v>
      </c>
      <c r="C35" s="88" t="s">
        <v>311</v>
      </c>
      <c r="D35" s="89" t="s">
        <v>325</v>
      </c>
      <c r="E35" s="71" t="s">
        <v>326</v>
      </c>
      <c r="L35" s="71" t="s">
        <v>364</v>
      </c>
      <c r="M35" s="71">
        <v>255</v>
      </c>
    </row>
    <row r="36" spans="1:17" x14ac:dyDescent="0.3">
      <c r="A36" s="86" t="s">
        <v>327</v>
      </c>
      <c r="B36" s="87">
        <v>1260</v>
      </c>
      <c r="C36" s="88" t="s">
        <v>311</v>
      </c>
      <c r="D36" s="89" t="s">
        <v>328</v>
      </c>
      <c r="E36" s="71" t="s">
        <v>329</v>
      </c>
    </row>
    <row r="37" spans="1:17" x14ac:dyDescent="0.3">
      <c r="A37" s="86" t="s">
        <v>330</v>
      </c>
      <c r="B37" s="90">
        <v>0.25</v>
      </c>
      <c r="C37" s="88"/>
      <c r="D37" s="89"/>
    </row>
    <row r="38" spans="1:17" x14ac:dyDescent="0.3">
      <c r="A38" s="86" t="s">
        <v>331</v>
      </c>
      <c r="B38" s="90">
        <v>0.35</v>
      </c>
      <c r="C38" s="88"/>
      <c r="D38" s="89"/>
    </row>
    <row r="39" spans="1:17" x14ac:dyDescent="0.3">
      <c r="A39" s="200" t="s">
        <v>332</v>
      </c>
      <c r="B39" s="200"/>
      <c r="C39" s="200"/>
      <c r="D39" s="200"/>
    </row>
    <row r="40" spans="1:17" x14ac:dyDescent="0.3">
      <c r="A40" s="158" t="s">
        <v>333</v>
      </c>
      <c r="B40" s="87">
        <v>2260</v>
      </c>
      <c r="C40" s="88" t="s">
        <v>239</v>
      </c>
      <c r="D40" s="89"/>
    </row>
    <row r="41" spans="1:17" x14ac:dyDescent="0.3">
      <c r="A41" s="86" t="s">
        <v>334</v>
      </c>
      <c r="B41" s="87">
        <v>1.1200000000000001</v>
      </c>
      <c r="C41" s="88" t="s">
        <v>335</v>
      </c>
      <c r="D41" s="89" t="s">
        <v>336</v>
      </c>
    </row>
    <row r="42" spans="1:17" x14ac:dyDescent="0.3">
      <c r="A42" s="134"/>
    </row>
    <row r="44" spans="1:17" x14ac:dyDescent="0.3">
      <c r="A44" s="135" t="s">
        <v>337</v>
      </c>
    </row>
  </sheetData>
  <mergeCells count="6">
    <mergeCell ref="A39:D39"/>
    <mergeCell ref="L32:M32"/>
    <mergeCell ref="B1:E1"/>
    <mergeCell ref="F1:I1"/>
    <mergeCell ref="A9:D9"/>
    <mergeCell ref="A23:D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6"/>
  <sheetViews>
    <sheetView workbookViewId="0">
      <selection activeCell="C10" sqref="C10"/>
    </sheetView>
  </sheetViews>
  <sheetFormatPr defaultColWidth="9.109375" defaultRowHeight="15.05" x14ac:dyDescent="0.3"/>
  <cols>
    <col min="1" max="1" customWidth="true" style="71" width="28.0" collapsed="true"/>
    <col min="2" max="2" bestFit="true" customWidth="true" style="71" width="9.6640625" collapsed="true"/>
    <col min="3" max="3" bestFit="true" customWidth="true" style="71" width="10.44140625" collapsed="true"/>
    <col min="4" max="5" style="71" width="9.109375" collapsed="true"/>
    <col min="6" max="8" customWidth="true" style="71" width="10.0" collapsed="true"/>
    <col min="9" max="16384" style="71" width="9.109375" collapsed="true"/>
  </cols>
  <sheetData>
    <row r="1" spans="1:8" x14ac:dyDescent="0.3">
      <c r="A1" s="70"/>
      <c r="B1" s="202" t="s">
        <v>266</v>
      </c>
      <c r="C1" s="202"/>
      <c r="D1" s="202"/>
      <c r="E1" s="202"/>
    </row>
    <row r="2" spans="1:8" x14ac:dyDescent="0.3">
      <c r="A2" s="70"/>
      <c r="B2" s="206" t="s">
        <v>338</v>
      </c>
      <c r="C2" s="207"/>
      <c r="D2" s="207"/>
      <c r="E2" s="208"/>
      <c r="F2" s="209" t="s">
        <v>339</v>
      </c>
      <c r="G2" s="201"/>
      <c r="H2" s="201"/>
    </row>
    <row r="3" spans="1:8" x14ac:dyDescent="0.3">
      <c r="A3" s="72" t="s">
        <v>267</v>
      </c>
      <c r="B3" s="73" t="s">
        <v>268</v>
      </c>
      <c r="C3" s="73" t="s">
        <v>61</v>
      </c>
      <c r="D3" s="74" t="s">
        <v>48</v>
      </c>
      <c r="E3" s="73" t="s">
        <v>177</v>
      </c>
      <c r="F3" s="91" t="s">
        <v>268</v>
      </c>
      <c r="G3" s="91" t="s">
        <v>340</v>
      </c>
      <c r="H3" s="91" t="s">
        <v>341</v>
      </c>
    </row>
    <row r="4" spans="1:8" x14ac:dyDescent="0.3">
      <c r="A4" s="77" t="s">
        <v>70</v>
      </c>
      <c r="B4" s="77">
        <f>'Coffee Roasting Process (TAD)'!E3</f>
        <v>125</v>
      </c>
      <c r="C4" s="77"/>
      <c r="D4" s="77"/>
      <c r="E4" s="77"/>
      <c r="F4" s="92">
        <f t="shared" ref="F4:F18" si="0">D4</f>
        <v>0</v>
      </c>
    </row>
    <row r="5" spans="1:8" x14ac:dyDescent="0.3">
      <c r="A5" s="77" t="s">
        <v>226</v>
      </c>
      <c r="B5" s="77">
        <f>'Coffee Roasting Process (TAD)'!E4</f>
        <v>6</v>
      </c>
      <c r="C5" s="77"/>
      <c r="D5" s="77"/>
      <c r="E5" s="77"/>
      <c r="F5" s="92">
        <f t="shared" si="0"/>
        <v>0</v>
      </c>
    </row>
    <row r="6" spans="1:8" x14ac:dyDescent="0.3">
      <c r="A6" s="77" t="s">
        <v>273</v>
      </c>
      <c r="B6" s="93">
        <f>'Coffee Roasting Process (TAD)'!E5</f>
        <v>43.75</v>
      </c>
      <c r="C6" s="77"/>
      <c r="D6" s="93">
        <f>B6</f>
        <v>43.75</v>
      </c>
      <c r="E6" s="77"/>
      <c r="F6" s="92">
        <f t="shared" si="0"/>
        <v>43.75</v>
      </c>
    </row>
    <row r="7" spans="1:8" x14ac:dyDescent="0.3">
      <c r="A7" s="77" t="s">
        <v>10</v>
      </c>
      <c r="B7" s="93">
        <f>((1/(B22+1))*(B4+B5)/B21)-B6</f>
        <v>218.25</v>
      </c>
      <c r="C7" s="77"/>
      <c r="D7" s="93">
        <f>B7</f>
        <v>218.25</v>
      </c>
      <c r="E7" s="77"/>
      <c r="F7" s="92">
        <f t="shared" si="0"/>
        <v>218.25</v>
      </c>
    </row>
    <row r="8" spans="1:8" x14ac:dyDescent="0.3">
      <c r="A8" s="77" t="s">
        <v>342</v>
      </c>
      <c r="B8" s="79">
        <f>(B22/(B22+1))*(B4+B5)/B21</f>
        <v>1048</v>
      </c>
      <c r="C8" s="77"/>
      <c r="D8" s="79">
        <f>B8</f>
        <v>1048</v>
      </c>
      <c r="E8" s="77"/>
      <c r="F8" s="92">
        <f t="shared" si="0"/>
        <v>1048</v>
      </c>
    </row>
    <row r="9" spans="1:8" x14ac:dyDescent="0.3">
      <c r="A9" s="77" t="s">
        <v>181</v>
      </c>
      <c r="B9" s="94">
        <f>B25*SUM(B4+B5)*B26</f>
        <v>4139.6000000000004</v>
      </c>
      <c r="C9" s="79">
        <f>B9</f>
        <v>4139.6000000000004</v>
      </c>
      <c r="D9" s="79"/>
      <c r="E9" s="77"/>
      <c r="F9" s="92">
        <f t="shared" si="0"/>
        <v>0</v>
      </c>
    </row>
    <row r="10" spans="1:8" x14ac:dyDescent="0.3">
      <c r="A10" s="77" t="s">
        <v>225</v>
      </c>
      <c r="B10" s="79">
        <f t="shared" ref="B10:B16" si="1">B$4*B40+B$5*C40</f>
        <v>16.926200000000001</v>
      </c>
      <c r="C10" s="95">
        <f>E60*$B10</f>
        <v>16.389428329809725</v>
      </c>
      <c r="D10" s="95">
        <f>F60*$B10</f>
        <v>0.53677167019027494</v>
      </c>
      <c r="E10" s="77"/>
      <c r="F10" s="92">
        <f t="shared" si="0"/>
        <v>0.53677167019027494</v>
      </c>
    </row>
    <row r="11" spans="1:8" x14ac:dyDescent="0.3">
      <c r="A11" s="77" t="s">
        <v>44</v>
      </c>
      <c r="B11" s="79">
        <f t="shared" si="1"/>
        <v>49.875799999999998</v>
      </c>
      <c r="C11" s="95">
        <f t="shared" ref="C11:C16" si="2">E61*B11</f>
        <v>14.761447533632285</v>
      </c>
      <c r="D11" s="95">
        <f t="shared" ref="D11:D16" si="3">F61*$B11</f>
        <v>35.114352466367713</v>
      </c>
      <c r="E11" s="77"/>
      <c r="F11" s="92">
        <f t="shared" si="0"/>
        <v>35.114352466367713</v>
      </c>
    </row>
    <row r="12" spans="1:8" x14ac:dyDescent="0.3">
      <c r="A12" s="77" t="s">
        <v>343</v>
      </c>
      <c r="B12" s="79">
        <f t="shared" si="1"/>
        <v>23.245699999999999</v>
      </c>
      <c r="C12" s="95">
        <f t="shared" si="2"/>
        <v>3.9434669642857143</v>
      </c>
      <c r="D12" s="95">
        <f t="shared" si="3"/>
        <v>19.302233035714284</v>
      </c>
      <c r="E12" s="77"/>
      <c r="F12" s="92">
        <f t="shared" si="0"/>
        <v>19.302233035714284</v>
      </c>
    </row>
    <row r="13" spans="1:8" x14ac:dyDescent="0.3">
      <c r="A13" s="77" t="s">
        <v>344</v>
      </c>
      <c r="B13" s="79">
        <f t="shared" si="1"/>
        <v>8.3440999999999992</v>
      </c>
      <c r="C13" s="95">
        <f t="shared" si="2"/>
        <v>4.1720499999999996</v>
      </c>
      <c r="D13" s="95">
        <f t="shared" si="3"/>
        <v>4.1720499999999996</v>
      </c>
      <c r="E13" s="77"/>
      <c r="F13" s="92">
        <f t="shared" si="0"/>
        <v>4.1720499999999996</v>
      </c>
    </row>
    <row r="14" spans="1:8" x14ac:dyDescent="0.3">
      <c r="A14" s="77" t="s">
        <v>103</v>
      </c>
      <c r="B14" s="79">
        <f t="shared" si="1"/>
        <v>3.0892999999999997</v>
      </c>
      <c r="C14" s="95">
        <f t="shared" si="2"/>
        <v>0</v>
      </c>
      <c r="D14" s="95">
        <f t="shared" si="3"/>
        <v>0</v>
      </c>
      <c r="E14" s="79">
        <f>B14</f>
        <v>3.0892999999999997</v>
      </c>
      <c r="F14" s="92">
        <f t="shared" si="0"/>
        <v>0</v>
      </c>
    </row>
    <row r="15" spans="1:8" x14ac:dyDescent="0.3">
      <c r="A15" s="77" t="s">
        <v>106</v>
      </c>
      <c r="B15" s="79">
        <f t="shared" si="1"/>
        <v>1.9466000000000001</v>
      </c>
      <c r="C15" s="95">
        <f t="shared" si="2"/>
        <v>1.6221666666666668</v>
      </c>
      <c r="D15" s="95">
        <f t="shared" si="3"/>
        <v>0</v>
      </c>
      <c r="E15" s="77"/>
      <c r="F15" s="92">
        <f t="shared" si="0"/>
        <v>0</v>
      </c>
    </row>
    <row r="16" spans="1:8" x14ac:dyDescent="0.3">
      <c r="A16" s="96" t="s">
        <v>109</v>
      </c>
      <c r="B16" s="97">
        <f t="shared" si="1"/>
        <v>22.921400000000002</v>
      </c>
      <c r="C16" s="98">
        <f t="shared" si="2"/>
        <v>0</v>
      </c>
      <c r="D16" s="98">
        <f t="shared" si="3"/>
        <v>0</v>
      </c>
      <c r="E16" s="97">
        <f>B16</f>
        <v>22.921400000000002</v>
      </c>
      <c r="F16" s="92">
        <f t="shared" si="0"/>
        <v>0</v>
      </c>
    </row>
    <row r="17" spans="1:6" x14ac:dyDescent="0.3">
      <c r="A17" s="99" t="s">
        <v>191</v>
      </c>
      <c r="B17" s="100">
        <f>SUM(B6:B16)</f>
        <v>5575.9491000000007</v>
      </c>
      <c r="C17" s="100">
        <f>SUM(C6:C16)</f>
        <v>4180.4885594943953</v>
      </c>
      <c r="D17" s="100">
        <f>SUM(D6:D16)</f>
        <v>1369.1254071722724</v>
      </c>
      <c r="E17" s="100">
        <f>SUM(E6:E16)</f>
        <v>26.0107</v>
      </c>
      <c r="F17" s="92">
        <f t="shared" si="0"/>
        <v>1369.1254071722724</v>
      </c>
    </row>
    <row r="18" spans="1:6" x14ac:dyDescent="0.3">
      <c r="A18" s="99" t="s">
        <v>345</v>
      </c>
      <c r="B18" s="101"/>
      <c r="C18" s="101"/>
      <c r="D18" s="101"/>
      <c r="E18" s="101"/>
      <c r="F18" s="71">
        <f t="shared" si="0"/>
        <v>0</v>
      </c>
    </row>
    <row r="20" spans="1:6" x14ac:dyDescent="0.3">
      <c r="A20" s="210" t="s">
        <v>296</v>
      </c>
      <c r="B20" s="211"/>
      <c r="C20" s="211"/>
      <c r="D20" s="212"/>
    </row>
    <row r="21" spans="1:6" x14ac:dyDescent="0.3">
      <c r="A21" s="154" t="s">
        <v>468</v>
      </c>
      <c r="B21" s="87">
        <v>0.1</v>
      </c>
      <c r="C21" s="88"/>
      <c r="D21" s="89"/>
    </row>
    <row r="22" spans="1:6" x14ac:dyDescent="0.3">
      <c r="A22" s="86" t="s">
        <v>346</v>
      </c>
      <c r="B22" s="87">
        <v>4</v>
      </c>
      <c r="C22" s="88"/>
      <c r="D22" s="89"/>
    </row>
    <row r="23" spans="1:6" x14ac:dyDescent="0.3">
      <c r="A23" s="86" t="s">
        <v>347</v>
      </c>
      <c r="B23" s="87">
        <v>50</v>
      </c>
      <c r="C23" s="88" t="s">
        <v>156</v>
      </c>
      <c r="D23" s="89"/>
      <c r="E23" s="71" t="s">
        <v>348</v>
      </c>
    </row>
    <row r="24" spans="1:6" x14ac:dyDescent="0.3">
      <c r="A24" s="86" t="s">
        <v>349</v>
      </c>
      <c r="B24" s="87">
        <v>0.77</v>
      </c>
      <c r="C24" s="88" t="s">
        <v>350</v>
      </c>
      <c r="D24" s="89"/>
    </row>
    <row r="25" spans="1:6" x14ac:dyDescent="0.3">
      <c r="A25" s="86" t="s">
        <v>351</v>
      </c>
      <c r="B25" s="87">
        <v>40</v>
      </c>
      <c r="C25" s="88" t="s">
        <v>352</v>
      </c>
      <c r="D25" s="89"/>
    </row>
    <row r="26" spans="1:6" x14ac:dyDescent="0.3">
      <c r="A26" s="86" t="s">
        <v>353</v>
      </c>
      <c r="B26" s="87">
        <v>0.79</v>
      </c>
      <c r="C26" s="88" t="s">
        <v>354</v>
      </c>
      <c r="D26" s="89"/>
    </row>
    <row r="27" spans="1:6" x14ac:dyDescent="0.3">
      <c r="A27" s="119" t="s">
        <v>380</v>
      </c>
      <c r="B27" s="87">
        <v>150</v>
      </c>
      <c r="C27" s="88" t="s">
        <v>352</v>
      </c>
      <c r="D27" s="89"/>
    </row>
    <row r="28" spans="1:6" x14ac:dyDescent="0.3">
      <c r="A28" s="119" t="s">
        <v>382</v>
      </c>
      <c r="B28" s="87">
        <v>913</v>
      </c>
      <c r="C28" s="120" t="s">
        <v>239</v>
      </c>
      <c r="D28" s="89"/>
    </row>
    <row r="29" spans="1:6" x14ac:dyDescent="0.3">
      <c r="A29" s="119" t="s">
        <v>381</v>
      </c>
      <c r="B29" s="87">
        <v>841</v>
      </c>
      <c r="C29" s="120" t="s">
        <v>239</v>
      </c>
      <c r="D29" s="89"/>
    </row>
    <row r="30" spans="1:6" x14ac:dyDescent="0.3">
      <c r="A30" s="119" t="s">
        <v>386</v>
      </c>
      <c r="B30" s="87">
        <v>1</v>
      </c>
      <c r="C30" s="120" t="s">
        <v>354</v>
      </c>
      <c r="D30" s="89"/>
    </row>
    <row r="31" spans="1:6" x14ac:dyDescent="0.3">
      <c r="A31" s="127" t="s">
        <v>391</v>
      </c>
      <c r="B31" s="87">
        <v>3</v>
      </c>
      <c r="C31" s="128" t="s">
        <v>392</v>
      </c>
      <c r="D31" s="89"/>
    </row>
    <row r="32" spans="1:6" x14ac:dyDescent="0.3">
      <c r="A32" s="127" t="s">
        <v>394</v>
      </c>
      <c r="B32" s="90">
        <v>0.99</v>
      </c>
      <c r="C32" s="88"/>
      <c r="D32" s="89"/>
    </row>
    <row r="33" spans="1:9" x14ac:dyDescent="0.3">
      <c r="A33" s="129" t="s">
        <v>395</v>
      </c>
      <c r="B33" s="130">
        <v>0.9</v>
      </c>
      <c r="C33" s="214" t="s">
        <v>401</v>
      </c>
      <c r="D33" s="215"/>
    </row>
    <row r="34" spans="1:9" x14ac:dyDescent="0.3">
      <c r="A34" s="129" t="s">
        <v>400</v>
      </c>
      <c r="B34" s="130">
        <v>0.1</v>
      </c>
      <c r="C34" s="216"/>
      <c r="D34" s="217"/>
    </row>
    <row r="35" spans="1:9" x14ac:dyDescent="0.3">
      <c r="A35" s="127" t="s">
        <v>403</v>
      </c>
      <c r="B35" s="90">
        <v>0.2</v>
      </c>
      <c r="C35" s="88"/>
      <c r="D35" s="89"/>
    </row>
    <row r="36" spans="1:9" x14ac:dyDescent="0.3">
      <c r="A36" s="137" t="s">
        <v>414</v>
      </c>
      <c r="B36" s="71">
        <v>0.75</v>
      </c>
      <c r="C36" s="120" t="s">
        <v>354</v>
      </c>
    </row>
    <row r="38" spans="1:9" x14ac:dyDescent="0.3">
      <c r="A38" s="102" t="s">
        <v>67</v>
      </c>
      <c r="B38" s="213" t="s">
        <v>355</v>
      </c>
      <c r="C38" s="213"/>
      <c r="D38" s="103"/>
      <c r="E38" s="103"/>
    </row>
    <row r="39" spans="1:9" x14ac:dyDescent="0.3">
      <c r="A39" s="103"/>
      <c r="B39" s="104" t="s">
        <v>70</v>
      </c>
      <c r="C39" s="104" t="s">
        <v>226</v>
      </c>
      <c r="E39" s="71">
        <v>100</v>
      </c>
    </row>
    <row r="40" spans="1:9" x14ac:dyDescent="0.3">
      <c r="A40" s="71" t="s">
        <v>73</v>
      </c>
      <c r="B40" s="105">
        <f>12.4/100</f>
        <v>0.124</v>
      </c>
      <c r="C40" s="105">
        <f>23.77/100</f>
        <v>0.23769999999999999</v>
      </c>
      <c r="D40" s="103"/>
      <c r="E40" s="71">
        <v>58.8</v>
      </c>
    </row>
    <row r="41" spans="1:9" x14ac:dyDescent="0.3">
      <c r="A41" s="71" t="s">
        <v>44</v>
      </c>
      <c r="B41" s="105">
        <f>39.1/100</f>
        <v>0.39100000000000001</v>
      </c>
      <c r="C41" s="105">
        <f>16.68/100</f>
        <v>0.1668</v>
      </c>
      <c r="D41" s="103"/>
      <c r="E41" s="71">
        <v>15.4</v>
      </c>
    </row>
    <row r="42" spans="1:9" x14ac:dyDescent="0.3">
      <c r="A42" s="71" t="s">
        <v>343</v>
      </c>
      <c r="B42" s="105">
        <f>17.59/100</f>
        <v>0.1759</v>
      </c>
      <c r="C42" s="105">
        <f>20.97/100</f>
        <v>0.2097</v>
      </c>
      <c r="D42" s="103"/>
      <c r="E42" s="71">
        <f>E39-E40-E41</f>
        <v>25.800000000000004</v>
      </c>
    </row>
    <row r="43" spans="1:9" x14ac:dyDescent="0.3">
      <c r="A43" s="71" t="s">
        <v>344</v>
      </c>
      <c r="B43" s="105">
        <f>6.31/100</f>
        <v>6.3099999999999989E-2</v>
      </c>
      <c r="C43" s="105">
        <f>7.61/100</f>
        <v>7.6100000000000001E-2</v>
      </c>
      <c r="D43" s="103"/>
    </row>
    <row r="44" spans="1:9" x14ac:dyDescent="0.3">
      <c r="A44" s="71" t="s">
        <v>103</v>
      </c>
      <c r="B44" s="105">
        <f>2.29/100</f>
        <v>2.29E-2</v>
      </c>
      <c r="C44" s="105">
        <f>3.78/100</f>
        <v>3.78E-2</v>
      </c>
      <c r="D44" s="103"/>
    </row>
    <row r="45" spans="1:9" x14ac:dyDescent="0.3">
      <c r="A45" s="71" t="s">
        <v>106</v>
      </c>
      <c r="B45" s="105">
        <f>1.3/100</f>
        <v>1.3000000000000001E-2</v>
      </c>
      <c r="C45" s="105">
        <f>5.36/100</f>
        <v>5.3600000000000002E-2</v>
      </c>
      <c r="D45" s="103"/>
    </row>
    <row r="46" spans="1:9" x14ac:dyDescent="0.3">
      <c r="A46" s="71" t="s">
        <v>109</v>
      </c>
      <c r="B46" s="105">
        <f>17.44/100</f>
        <v>0.1744</v>
      </c>
      <c r="C46" s="105">
        <f>18.69/100</f>
        <v>0.18690000000000001</v>
      </c>
      <c r="D46" s="103"/>
    </row>
    <row r="48" spans="1:9" x14ac:dyDescent="0.3">
      <c r="A48" s="205" t="s">
        <v>356</v>
      </c>
      <c r="B48" s="205"/>
      <c r="C48" s="205"/>
      <c r="D48" s="205"/>
      <c r="E48" s="205"/>
      <c r="F48" s="205"/>
      <c r="G48" s="205"/>
      <c r="H48" s="205"/>
      <c r="I48" s="205"/>
    </row>
    <row r="58" spans="1:6" x14ac:dyDescent="0.3">
      <c r="B58" s="205" t="s">
        <v>357</v>
      </c>
      <c r="C58" s="205"/>
      <c r="D58" s="205"/>
      <c r="E58" s="205"/>
      <c r="F58" s="205"/>
    </row>
    <row r="59" spans="1:6" x14ac:dyDescent="0.3">
      <c r="B59" s="80" t="s">
        <v>358</v>
      </c>
      <c r="C59" s="80" t="s">
        <v>359</v>
      </c>
      <c r="D59" s="80" t="s">
        <v>360</v>
      </c>
      <c r="E59" s="80" t="s">
        <v>359</v>
      </c>
      <c r="F59" s="80" t="s">
        <v>360</v>
      </c>
    </row>
    <row r="60" spans="1:6" x14ac:dyDescent="0.3">
      <c r="A60" s="71" t="s">
        <v>73</v>
      </c>
      <c r="B60" s="106">
        <v>47.3</v>
      </c>
      <c r="C60" s="106">
        <v>45.8</v>
      </c>
      <c r="D60" s="106">
        <f>B60-C60</f>
        <v>1.5</v>
      </c>
      <c r="E60" s="107">
        <f>C60/B60</f>
        <v>0.96828752642706128</v>
      </c>
      <c r="F60" s="107">
        <f>D60/B60</f>
        <v>3.1712473572938694E-2</v>
      </c>
    </row>
    <row r="61" spans="1:6" x14ac:dyDescent="0.3">
      <c r="A61" s="71" t="s">
        <v>44</v>
      </c>
      <c r="B61" s="106">
        <v>22.3</v>
      </c>
      <c r="C61" s="106">
        <v>6.6</v>
      </c>
      <c r="D61" s="106">
        <f>B61-C61</f>
        <v>15.700000000000001</v>
      </c>
      <c r="E61" s="107">
        <f>C61/B61</f>
        <v>0.29596412556053808</v>
      </c>
      <c r="F61" s="107">
        <f>D61/B61</f>
        <v>0.70403587443946192</v>
      </c>
    </row>
    <row r="62" spans="1:6" x14ac:dyDescent="0.3">
      <c r="A62" s="71" t="s">
        <v>343</v>
      </c>
      <c r="B62" s="106">
        <v>22.4</v>
      </c>
      <c r="C62" s="106">
        <v>3.8</v>
      </c>
      <c r="D62" s="106">
        <f>B62-C62</f>
        <v>18.599999999999998</v>
      </c>
      <c r="E62" s="107">
        <f>C62/B62</f>
        <v>0.16964285714285715</v>
      </c>
      <c r="F62" s="107">
        <f>D62/B62</f>
        <v>0.83035714285714279</v>
      </c>
    </row>
    <row r="63" spans="1:6" x14ac:dyDescent="0.3">
      <c r="A63" s="71" t="s">
        <v>344</v>
      </c>
      <c r="B63" s="106">
        <v>4</v>
      </c>
      <c r="C63" s="106">
        <v>2</v>
      </c>
      <c r="D63" s="106">
        <f>B63-C63</f>
        <v>2</v>
      </c>
      <c r="E63" s="107">
        <f>C63/B63</f>
        <v>0.5</v>
      </c>
      <c r="F63" s="107">
        <f>D63/B63</f>
        <v>0.5</v>
      </c>
    </row>
    <row r="64" spans="1:6" x14ac:dyDescent="0.3">
      <c r="A64" s="71" t="s">
        <v>103</v>
      </c>
      <c r="B64" s="106"/>
      <c r="C64" s="106"/>
      <c r="D64" s="106"/>
      <c r="E64" s="107"/>
      <c r="F64" s="107"/>
    </row>
    <row r="65" spans="1:6" x14ac:dyDescent="0.3">
      <c r="A65" s="71" t="s">
        <v>106</v>
      </c>
      <c r="B65" s="106">
        <v>0.6</v>
      </c>
      <c r="C65" s="106">
        <v>0.5</v>
      </c>
      <c r="D65" s="106"/>
      <c r="E65" s="107">
        <f>C65/B65</f>
        <v>0.83333333333333337</v>
      </c>
      <c r="F65" s="107">
        <f>D65/B65</f>
        <v>0</v>
      </c>
    </row>
    <row r="66" spans="1:6" x14ac:dyDescent="0.3">
      <c r="A66" s="71" t="s">
        <v>109</v>
      </c>
    </row>
  </sheetData>
  <mergeCells count="8">
    <mergeCell ref="B58:F58"/>
    <mergeCell ref="B1:E1"/>
    <mergeCell ref="B2:E2"/>
    <mergeCell ref="F2:H2"/>
    <mergeCell ref="A20:D20"/>
    <mergeCell ref="B38:C38"/>
    <mergeCell ref="A48:I48"/>
    <mergeCell ref="C33:D3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9"/>
  <sheetViews>
    <sheetView zoomScale="85" zoomScaleNormal="85" workbookViewId="0">
      <selection activeCell="AD48" sqref="AD48"/>
    </sheetView>
  </sheetViews>
  <sheetFormatPr defaultColWidth="17.5546875" defaultRowHeight="15.65" x14ac:dyDescent="0.2"/>
  <cols>
    <col min="1" max="4" style="4" width="17.5546875" collapsed="true"/>
    <col min="5" max="5" customWidth="true" style="4" width="18.44140625" collapsed="true"/>
    <col min="6" max="6" style="4" width="17.5546875" collapsed="true"/>
    <col min="7" max="7" bestFit="true" customWidth="true" style="4" width="22.109375" collapsed="true"/>
    <col min="8" max="10" style="4" width="17.5546875" collapsed="true"/>
    <col min="11" max="11" customWidth="true" style="4" width="21.5546875" collapsed="true"/>
    <col min="12" max="15" style="4" width="17.5546875" collapsed="true"/>
    <col min="16" max="16" customWidth="true" style="4" width="19.33203125" collapsed="true"/>
    <col min="17" max="17" customWidth="true" style="4" width="8.33203125" collapsed="true"/>
    <col min="18" max="18" customWidth="true" style="4" width="19.33203125" collapsed="true"/>
    <col min="19" max="19" customWidth="true" style="4" width="9.0" collapsed="true"/>
    <col min="20" max="20" style="4" width="17.5546875" collapsed="true"/>
    <col min="21" max="21" customWidth="true" style="4" width="6.88671875" collapsed="true"/>
    <col min="22" max="22" customWidth="true" style="4" width="17.6640625" collapsed="true"/>
    <col min="23" max="23" customWidth="true" style="4" width="6.88671875" collapsed="true"/>
    <col min="24" max="24" style="4" width="17.5546875" collapsed="true"/>
    <col min="25" max="25" customWidth="true" style="4" width="4.88671875" collapsed="true"/>
    <col min="26" max="26" style="4" width="17.5546875" collapsed="true"/>
    <col min="27" max="27" customWidth="true" style="4" width="4.88671875" collapsed="true"/>
    <col min="28" max="28" style="4" width="17.5546875" collapsed="true"/>
    <col min="29" max="29" customWidth="true" style="4" width="5.44140625" collapsed="true"/>
    <col min="30" max="30" style="4" width="17.5546875" collapsed="true"/>
    <col min="31" max="31" customWidth="true" style="4" width="6.0" collapsed="true"/>
    <col min="32" max="16384" style="4" width="17.5546875" collapsed="true"/>
  </cols>
  <sheetData>
    <row r="1" spans="1:15" x14ac:dyDescent="0.2">
      <c r="I1" s="12"/>
    </row>
    <row r="2" spans="1:15" x14ac:dyDescent="0.2">
      <c r="B2" s="11"/>
      <c r="C2" s="12" t="s">
        <v>5</v>
      </c>
      <c r="D2" s="24"/>
      <c r="E2" s="23" t="s">
        <v>46</v>
      </c>
      <c r="F2" s="13"/>
      <c r="G2" s="12" t="s">
        <v>9</v>
      </c>
      <c r="H2" s="14"/>
      <c r="I2" s="12" t="s">
        <v>241</v>
      </c>
      <c r="J2" s="15"/>
      <c r="K2" s="12" t="s">
        <v>6</v>
      </c>
      <c r="L2" s="57"/>
      <c r="M2" s="12" t="s">
        <v>236</v>
      </c>
      <c r="N2" s="136"/>
      <c r="O2" s="12" t="s">
        <v>408</v>
      </c>
    </row>
    <row r="3" spans="1:15" x14ac:dyDescent="0.2">
      <c r="B3" s="4" t="s">
        <v>61</v>
      </c>
      <c r="C3" s="39" t="s">
        <v>141</v>
      </c>
      <c r="E3" s="4" t="s">
        <v>57</v>
      </c>
      <c r="F3" s="12" t="s">
        <v>139</v>
      </c>
      <c r="G3" s="4" t="s">
        <v>58</v>
      </c>
      <c r="H3" s="12" t="s">
        <v>140</v>
      </c>
      <c r="I3" s="12"/>
    </row>
    <row r="4" spans="1:15" ht="16.3" thickBot="1" x14ac:dyDescent="0.25">
      <c r="C4" s="39"/>
      <c r="F4" s="12"/>
      <c r="H4" s="12"/>
      <c r="I4" s="12"/>
    </row>
    <row r="5" spans="1:15" ht="18.8" thickBot="1" x14ac:dyDescent="0.25">
      <c r="B5" s="219" t="s">
        <v>417</v>
      </c>
      <c r="C5" s="220"/>
      <c r="D5" s="220"/>
      <c r="E5" s="221"/>
      <c r="F5" s="222" t="s">
        <v>416</v>
      </c>
      <c r="G5" s="223"/>
      <c r="H5" s="223"/>
      <c r="I5" s="224"/>
    </row>
    <row r="6" spans="1:15" x14ac:dyDescent="0.2">
      <c r="A6" s="218"/>
      <c r="B6" s="234" t="s">
        <v>367</v>
      </c>
      <c r="C6" s="235"/>
      <c r="D6" s="235"/>
      <c r="E6" s="236"/>
      <c r="F6" s="225" t="s">
        <v>407</v>
      </c>
      <c r="G6" s="226"/>
      <c r="H6" s="226"/>
      <c r="I6" s="227"/>
    </row>
    <row r="7" spans="1:15" x14ac:dyDescent="0.2">
      <c r="A7" s="218"/>
      <c r="B7" s="230" t="s">
        <v>366</v>
      </c>
      <c r="C7" s="231"/>
      <c r="D7" s="4">
        <v>500</v>
      </c>
      <c r="E7" s="133" t="s">
        <v>136</v>
      </c>
      <c r="F7" s="228" t="s">
        <v>411</v>
      </c>
      <c r="G7" s="229"/>
      <c r="H7" s="114">
        <f>D22</f>
        <v>471.04655209270919</v>
      </c>
      <c r="I7" s="133" t="s">
        <v>265</v>
      </c>
      <c r="J7" s="64"/>
    </row>
    <row r="8" spans="1:15" x14ac:dyDescent="0.2">
      <c r="A8" s="218"/>
      <c r="B8" s="230" t="s">
        <v>365</v>
      </c>
      <c r="C8" s="231"/>
      <c r="D8" s="4" t="s">
        <v>363</v>
      </c>
      <c r="E8" s="108"/>
      <c r="F8" s="228" t="s">
        <v>410</v>
      </c>
      <c r="G8" s="229"/>
      <c r="H8" s="4">
        <f>D7*(D19+G19+C35)*3.6/500</f>
        <v>75.599999999999994</v>
      </c>
      <c r="I8" s="133" t="s">
        <v>265</v>
      </c>
      <c r="K8" s="4">
        <f>((H8*1500)/3.6)/750</f>
        <v>41.999999999999993</v>
      </c>
    </row>
    <row r="9" spans="1:15" x14ac:dyDescent="0.2">
      <c r="A9" s="218"/>
      <c r="B9" s="230" t="s">
        <v>371</v>
      </c>
      <c r="C9" s="231"/>
      <c r="D9" s="4">
        <v>400</v>
      </c>
      <c r="E9" s="133" t="s">
        <v>311</v>
      </c>
      <c r="F9" s="228" t="s">
        <v>412</v>
      </c>
      <c r="G9" s="229"/>
      <c r="H9" s="114">
        <f>H38</f>
        <v>256.1063020927092</v>
      </c>
      <c r="I9" s="133" t="s">
        <v>265</v>
      </c>
    </row>
    <row r="10" spans="1:15" ht="16.3" thickBot="1" x14ac:dyDescent="0.25">
      <c r="A10" s="218"/>
      <c r="B10" s="232" t="s">
        <v>302</v>
      </c>
      <c r="C10" s="233"/>
      <c r="D10" s="109">
        <f>0.1+E10*0.05</f>
        <v>0.25</v>
      </c>
      <c r="E10" s="112">
        <v>3</v>
      </c>
      <c r="F10" s="230" t="s">
        <v>409</v>
      </c>
      <c r="G10" s="231"/>
      <c r="H10" s="114">
        <f>L60+R54+D50+AD56+N47</f>
        <v>4417.5209212500004</v>
      </c>
      <c r="I10" s="133" t="s">
        <v>265</v>
      </c>
    </row>
    <row r="11" spans="1:15" x14ac:dyDescent="0.2">
      <c r="A11" s="218"/>
      <c r="B11" s="234" t="s">
        <v>377</v>
      </c>
      <c r="C11" s="235"/>
      <c r="D11" s="235"/>
      <c r="E11" s="236"/>
      <c r="F11" s="230" t="s">
        <v>413</v>
      </c>
      <c r="G11" s="231"/>
      <c r="H11" s="114">
        <f>(B57+D59+X60+F60)*3.6</f>
        <v>199.20918484967521</v>
      </c>
      <c r="I11" s="133" t="s">
        <v>265</v>
      </c>
      <c r="J11" s="16" t="s">
        <v>496</v>
      </c>
    </row>
    <row r="12" spans="1:15" x14ac:dyDescent="0.2">
      <c r="A12" s="218"/>
      <c r="B12" s="230" t="s">
        <v>378</v>
      </c>
      <c r="C12" s="231"/>
      <c r="D12" s="4">
        <v>6</v>
      </c>
      <c r="E12" s="108"/>
      <c r="F12" s="230" t="s">
        <v>415</v>
      </c>
      <c r="G12" s="231"/>
      <c r="H12" s="114">
        <f>(H10*'P&amp;L Assumptions (TAD)'!SCG_Hours_per_year+(D22-H38)*AnnualRoastHours)/1000</f>
        <v>25060.527534000001</v>
      </c>
      <c r="I12" s="133" t="s">
        <v>406</v>
      </c>
    </row>
    <row r="13" spans="1:15" ht="16.3" thickBot="1" x14ac:dyDescent="0.25">
      <c r="A13" s="218"/>
      <c r="B13" s="232" t="s">
        <v>385</v>
      </c>
      <c r="C13" s="233"/>
      <c r="D13" s="109" t="s">
        <v>10</v>
      </c>
      <c r="E13" s="132"/>
      <c r="F13" s="232" t="s">
        <v>434</v>
      </c>
      <c r="G13" s="233"/>
      <c r="H13" s="160">
        <f>(H11*'P&amp;L Assumptions (TAD)'!SCG_Hours_per_year+(H8)*AnnualRoastHours)/1000</f>
        <v>1228.9714351581813</v>
      </c>
      <c r="I13" s="139" t="s">
        <v>418</v>
      </c>
    </row>
    <row r="15" spans="1:15" x14ac:dyDescent="0.2">
      <c r="C15" s="12"/>
      <c r="E15" s="12"/>
      <c r="G15" s="12"/>
      <c r="I15" s="12"/>
    </row>
    <row r="16" spans="1:15" ht="21.3" x14ac:dyDescent="0.2">
      <c r="B16" s="10" t="s">
        <v>240</v>
      </c>
    </row>
    <row r="17" spans="2:11" x14ac:dyDescent="0.2">
      <c r="B17" s="16" t="s">
        <v>242</v>
      </c>
      <c r="F17" s="51">
        <f>'Coffee Roasting Process (TAD)'!F3</f>
        <v>358.5</v>
      </c>
    </row>
    <row r="18" spans="2:11" x14ac:dyDescent="0.2">
      <c r="F18" s="24" t="s">
        <v>144</v>
      </c>
    </row>
    <row r="19" spans="2:11" x14ac:dyDescent="0.2">
      <c r="D19" s="136">
        <v>5</v>
      </c>
      <c r="G19" s="136">
        <v>6</v>
      </c>
    </row>
    <row r="20" spans="2:11" x14ac:dyDescent="0.2">
      <c r="B20" s="24" t="s">
        <v>237</v>
      </c>
      <c r="D20" s="15">
        <v>15</v>
      </c>
      <c r="G20" s="24" t="s">
        <v>142</v>
      </c>
    </row>
    <row r="21" spans="2:11" x14ac:dyDescent="0.2">
      <c r="B21" s="13">
        <f>D7</f>
        <v>500</v>
      </c>
      <c r="C21" s="9" t="s">
        <v>4</v>
      </c>
      <c r="D21" s="57">
        <f>VLOOKUP(D8,'Coffee Roasting Process (TAD)'!L33:M35,2,FALSE)</f>
        <v>236</v>
      </c>
      <c r="E21" s="9" t="s">
        <v>4</v>
      </c>
    </row>
    <row r="22" spans="2:11" x14ac:dyDescent="0.2">
      <c r="B22" s="57">
        <v>20</v>
      </c>
      <c r="C22" s="9"/>
      <c r="D22" s="22">
        <f>QSR*'Coffee Roasting Process (TAD)'!B3/1000</f>
        <v>471.04655209270919</v>
      </c>
      <c r="G22" s="38"/>
    </row>
    <row r="23" spans="2:11" ht="16.3" thickBot="1" x14ac:dyDescent="0.25"/>
    <row r="24" spans="2:11" ht="33.85" customHeight="1" thickBot="1" x14ac:dyDescent="0.25">
      <c r="B24" s="7" t="s">
        <v>238</v>
      </c>
      <c r="D24" s="8" t="s">
        <v>0</v>
      </c>
      <c r="F24" s="8" t="s">
        <v>1</v>
      </c>
      <c r="H24" s="7" t="s">
        <v>39</v>
      </c>
    </row>
    <row r="25" spans="2:11" ht="15.85" customHeight="1" x14ac:dyDescent="0.2">
      <c r="D25" s="110"/>
      <c r="F25" s="110"/>
    </row>
    <row r="26" spans="2:11" ht="15.85" customHeight="1" thickBot="1" x14ac:dyDescent="0.25">
      <c r="D26" s="110"/>
      <c r="F26" s="110"/>
    </row>
    <row r="27" spans="2:11" ht="33.85" customHeight="1" thickBot="1" x14ac:dyDescent="0.25">
      <c r="D27" s="110"/>
      <c r="H27" s="8" t="s">
        <v>2</v>
      </c>
      <c r="K27" s="39" t="s">
        <v>548</v>
      </c>
    </row>
    <row r="28" spans="2:11" ht="15.85" customHeight="1" x14ac:dyDescent="0.2">
      <c r="D28" s="110"/>
      <c r="F28" s="110"/>
    </row>
    <row r="29" spans="2:11" ht="15.85" customHeight="1" x14ac:dyDescent="0.2">
      <c r="D29" s="110"/>
    </row>
    <row r="30" spans="2:11" ht="15.85" customHeight="1" x14ac:dyDescent="0.2">
      <c r="D30" s="110"/>
    </row>
    <row r="31" spans="2:11" ht="16.3" thickBot="1" x14ac:dyDescent="0.25">
      <c r="F31" s="114"/>
    </row>
    <row r="32" spans="2:11" ht="33.85" customHeight="1" thickBot="1" x14ac:dyDescent="0.25">
      <c r="D32" s="8" t="s">
        <v>369</v>
      </c>
    </row>
    <row r="34" spans="2:16" ht="15.85" customHeight="1" x14ac:dyDescent="0.2"/>
    <row r="35" spans="2:16" x14ac:dyDescent="0.2">
      <c r="C35" s="136">
        <v>10</v>
      </c>
    </row>
    <row r="36" spans="2:16" x14ac:dyDescent="0.2">
      <c r="C36" s="51">
        <f>'Coffee Roasting Process (TAD)'!B7</f>
        <v>125</v>
      </c>
      <c r="D36" s="24" t="s">
        <v>37</v>
      </c>
      <c r="H36" s="24" t="s">
        <v>38</v>
      </c>
    </row>
    <row r="37" spans="2:16" x14ac:dyDescent="0.2">
      <c r="C37" s="51">
        <f>'Coffee Roasting Process (TAD)'!B6</f>
        <v>376.82367466517843</v>
      </c>
      <c r="D37" s="24" t="s">
        <v>274</v>
      </c>
      <c r="H37" s="51">
        <f>C37+C36+B21*(S+X0)</f>
        <v>562.82367466517849</v>
      </c>
    </row>
    <row r="38" spans="2:16" ht="16.3" thickBot="1" x14ac:dyDescent="0.25">
      <c r="H38" s="22">
        <f>'Coffee Roasting Process (TAD)'!B20</f>
        <v>256.1063020927092</v>
      </c>
      <c r="I38" s="111"/>
    </row>
    <row r="39" spans="2:16" ht="16.3" thickBot="1" x14ac:dyDescent="0.25">
      <c r="H39" s="57">
        <v>280</v>
      </c>
      <c r="M39" s="53">
        <f>P49-(O39+P39)</f>
        <v>11.408151088195194</v>
      </c>
      <c r="N39" s="53" t="s">
        <v>222</v>
      </c>
      <c r="O39" s="53">
        <f>Furfural_yield*SCG_throughput</f>
        <v>18.75</v>
      </c>
      <c r="P39" s="53">
        <f>Acetic_acid_yield*(SCG_throughput+Quantity_of_Silverskin_input)</f>
        <v>6.5437500000000002</v>
      </c>
    </row>
    <row r="40" spans="2:16" x14ac:dyDescent="0.2">
      <c r="M40" s="24" t="s">
        <v>221</v>
      </c>
      <c r="N40" s="24" t="s">
        <v>220</v>
      </c>
      <c r="O40" s="41" t="s">
        <v>146</v>
      </c>
      <c r="P40" s="41" t="s">
        <v>147</v>
      </c>
    </row>
    <row r="43" spans="2:16" x14ac:dyDescent="0.2">
      <c r="F43" s="24" t="s">
        <v>402</v>
      </c>
      <c r="N43" s="24" t="s">
        <v>220</v>
      </c>
    </row>
    <row r="44" spans="2:16" x14ac:dyDescent="0.2">
      <c r="F44" s="51">
        <f>D52-H47</f>
        <v>104.79999999999995</v>
      </c>
    </row>
    <row r="45" spans="2:16" ht="16.3" thickBot="1" x14ac:dyDescent="0.25"/>
    <row r="46" spans="2:16" ht="15.85" customHeight="1" thickBot="1" x14ac:dyDescent="0.25">
      <c r="B46" s="10" t="s">
        <v>56</v>
      </c>
      <c r="D46" s="114"/>
      <c r="H46" s="24" t="s">
        <v>375</v>
      </c>
      <c r="N46" s="7" t="s">
        <v>145</v>
      </c>
      <c r="P46" s="24" t="s">
        <v>399</v>
      </c>
    </row>
    <row r="47" spans="2:16" ht="16.3" thickBot="1" x14ac:dyDescent="0.25">
      <c r="B47" s="16" t="s">
        <v>149</v>
      </c>
      <c r="H47" s="51">
        <f>P47</f>
        <v>943.2</v>
      </c>
      <c r="I47" s="131" t="s">
        <v>375</v>
      </c>
      <c r="N47" s="22">
        <f>(J53*ΔHvap/1000)*0.1</f>
        <v>985.87980000000016</v>
      </c>
      <c r="O47" s="123" t="s">
        <v>375</v>
      </c>
      <c r="P47" s="51">
        <f>X54</f>
        <v>943.2</v>
      </c>
    </row>
    <row r="48" spans="2:16" ht="16.3" thickBot="1" x14ac:dyDescent="0.25">
      <c r="B48" s="53"/>
      <c r="C48" s="39" t="s">
        <v>203</v>
      </c>
      <c r="H48" s="51">
        <f>'Ionosolv (TAD)'!B35*'Balances (TAD)'!H47/(1-'Ionosolv (TAD)'!B35)</f>
        <v>235.8</v>
      </c>
      <c r="I48" s="131" t="s">
        <v>10</v>
      </c>
      <c r="O48" s="123" t="s">
        <v>10</v>
      </c>
      <c r="P48" s="51">
        <f>X55-AB59</f>
        <v>4598.1000000000004</v>
      </c>
    </row>
    <row r="49" spans="2:32" x14ac:dyDescent="0.2">
      <c r="B49" s="16"/>
      <c r="D49" s="57">
        <v>120</v>
      </c>
      <c r="O49" s="123" t="s">
        <v>221</v>
      </c>
      <c r="P49" s="51">
        <f>T56-Z68</f>
        <v>36.701901088195193</v>
      </c>
    </row>
    <row r="50" spans="2:32" x14ac:dyDescent="0.2">
      <c r="B50" s="16"/>
      <c r="D50" s="22">
        <f>((Cp__SCG*((SCG_throughput+Quantity_of_Silverskin_input)/1000)+(Cp_water_120C*(('Balances (TAD)'!$D$54+'Balances (TAD)'!$D$53+'Balances (TAD)'!$D$52)/1000)))*(120+273))</f>
        <v>2277.0071212500002</v>
      </c>
      <c r="F50" s="42"/>
    </row>
    <row r="51" spans="2:32" x14ac:dyDescent="0.2">
      <c r="D51" s="15">
        <f>4*60</f>
        <v>240</v>
      </c>
      <c r="T51" s="114"/>
    </row>
    <row r="52" spans="2:32" x14ac:dyDescent="0.2">
      <c r="D52" s="51">
        <f>'Ionosolv (TAD)'!B8</f>
        <v>1048</v>
      </c>
      <c r="E52" s="131" t="s">
        <v>375</v>
      </c>
      <c r="H52" s="51">
        <f>D53+D54+IF(D13="Water",F59,0)</f>
        <v>262</v>
      </c>
      <c r="I52" s="131" t="s">
        <v>10</v>
      </c>
      <c r="J52" s="24" t="s">
        <v>10</v>
      </c>
      <c r="T52" s="125"/>
      <c r="Y52" s="118"/>
    </row>
    <row r="53" spans="2:32" x14ac:dyDescent="0.2">
      <c r="C53" s="9"/>
      <c r="D53" s="51">
        <f>'Ionosolv (TAD)'!B7</f>
        <v>218.25</v>
      </c>
      <c r="E53" s="131" t="s">
        <v>374</v>
      </c>
      <c r="F53" s="9" t="s">
        <v>4</v>
      </c>
      <c r="H53" s="51">
        <f>IF(D13="Ethanol",F59,0)</f>
        <v>0</v>
      </c>
      <c r="I53" s="131" t="s">
        <v>379</v>
      </c>
      <c r="J53" s="51">
        <f>P48-H48</f>
        <v>4362.3</v>
      </c>
      <c r="O53" s="123" t="s">
        <v>379</v>
      </c>
      <c r="P53" s="51">
        <f>IF(D13="Ethanol",F59+J63,0)</f>
        <v>0</v>
      </c>
      <c r="Q53" s="114"/>
      <c r="R53" s="51">
        <f>P53</f>
        <v>0</v>
      </c>
      <c r="S53" s="123" t="s">
        <v>379</v>
      </c>
      <c r="T53" s="51">
        <f>P53-R53</f>
        <v>0</v>
      </c>
      <c r="W53" s="123" t="s">
        <v>379</v>
      </c>
      <c r="X53" s="51">
        <f>T53</f>
        <v>0</v>
      </c>
      <c r="AC53" s="114"/>
      <c r="AD53" s="114"/>
    </row>
    <row r="54" spans="2:32" ht="16.3" thickBot="1" x14ac:dyDescent="0.25">
      <c r="B54" s="113">
        <f>F29</f>
        <v>0</v>
      </c>
      <c r="D54" s="51">
        <f>'Coffee Roasting Process (TAD)'!E5</f>
        <v>43.75</v>
      </c>
      <c r="E54" s="131" t="s">
        <v>373</v>
      </c>
      <c r="H54" s="13">
        <f>D52</f>
        <v>1048</v>
      </c>
      <c r="I54" s="131" t="s">
        <v>375</v>
      </c>
      <c r="O54" s="123" t="s">
        <v>375</v>
      </c>
      <c r="P54" s="51">
        <f>H54</f>
        <v>1048</v>
      </c>
      <c r="Q54" s="114"/>
      <c r="R54" s="22">
        <f>P53*IF(R55="Rotavap (@40oC)", EtOHVap40, EtOHVap78)/1000</f>
        <v>0</v>
      </c>
      <c r="S54" s="123" t="s">
        <v>375</v>
      </c>
      <c r="T54" s="51">
        <f>IF(D13="Ethanol", P54*'Ionosolv (TAD)'!B32, P54*'Ionosolv (TAD)'!B33)</f>
        <v>943.2</v>
      </c>
      <c r="V54" s="51">
        <f>3*P54*'Ionosolv (TAD)'!B31/ScaleUPRF</f>
        <v>1572</v>
      </c>
      <c r="W54" s="123" t="s">
        <v>375</v>
      </c>
      <c r="X54" s="51">
        <f>T54</f>
        <v>943.2</v>
      </c>
    </row>
    <row r="55" spans="2:32" ht="16.3" thickBot="1" x14ac:dyDescent="0.25">
      <c r="B55" s="51">
        <f>SUM('Coffee Roasting Process (TAD)'!$E$3:$E$5)</f>
        <v>174.75</v>
      </c>
      <c r="D55" s="51">
        <f>'Coffee Roasting Process (TAD)'!E3+'Coffee Roasting Process (TAD)'!E4</f>
        <v>131</v>
      </c>
      <c r="E55" s="131" t="s">
        <v>372</v>
      </c>
      <c r="G55" s="115" t="s">
        <v>376</v>
      </c>
      <c r="H55" s="117">
        <f>SUM('Ionosolv (TAD)'!D10:D16)</f>
        <v>59.125407172272276</v>
      </c>
      <c r="I55" s="131" t="s">
        <v>221</v>
      </c>
      <c r="O55" s="123" t="s">
        <v>10</v>
      </c>
      <c r="P55" s="51">
        <f>H52+IF(D13="Water",J63,0)</f>
        <v>3537</v>
      </c>
      <c r="Q55" s="123" t="s">
        <v>379</v>
      </c>
      <c r="R55" s="7" t="s">
        <v>389</v>
      </c>
      <c r="S55" s="123" t="s">
        <v>10</v>
      </c>
      <c r="T55" s="51">
        <f>P55</f>
        <v>3537</v>
      </c>
      <c r="V55" s="7" t="s">
        <v>393</v>
      </c>
      <c r="W55" s="123" t="s">
        <v>10</v>
      </c>
      <c r="X55" s="51">
        <f>T55+V54</f>
        <v>5109</v>
      </c>
    </row>
    <row r="56" spans="2:32" ht="16.3" thickBot="1" x14ac:dyDescent="0.25">
      <c r="B56" s="7" t="s">
        <v>40</v>
      </c>
      <c r="D56" s="7" t="s">
        <v>138</v>
      </c>
      <c r="F56" s="7" t="s">
        <v>387</v>
      </c>
      <c r="H56" s="24" t="s">
        <v>48</v>
      </c>
      <c r="N56" s="27">
        <f>H59*0.05</f>
        <v>2.0444279747197194</v>
      </c>
      <c r="O56" s="123" t="s">
        <v>221</v>
      </c>
      <c r="P56" s="51">
        <f>H55+N56</f>
        <v>61.169835146991993</v>
      </c>
      <c r="Q56" s="114"/>
      <c r="S56" s="123" t="s">
        <v>221</v>
      </c>
      <c r="T56" s="51">
        <f>P56</f>
        <v>61.169835146991993</v>
      </c>
      <c r="W56" s="123" t="s">
        <v>221</v>
      </c>
      <c r="X56" s="51">
        <f>T56</f>
        <v>61.169835146991993</v>
      </c>
      <c r="Z56" s="7" t="s">
        <v>397</v>
      </c>
      <c r="AD56" s="22">
        <f>ΔHvap*AB59/1000</f>
        <v>1154.634</v>
      </c>
    </row>
    <row r="57" spans="2:32" ht="16.3" thickBot="1" x14ac:dyDescent="0.25">
      <c r="B57" s="136">
        <v>10</v>
      </c>
      <c r="N57" s="24" t="s">
        <v>60</v>
      </c>
      <c r="P57" s="24" t="s">
        <v>388</v>
      </c>
      <c r="T57" s="24" t="s">
        <v>388</v>
      </c>
      <c r="X57" s="24" t="s">
        <v>398</v>
      </c>
      <c r="Z57" s="7" t="s">
        <v>387</v>
      </c>
      <c r="AB57" s="24" t="s">
        <v>396</v>
      </c>
      <c r="AD57" s="7" t="s">
        <v>497</v>
      </c>
      <c r="AF57" s="24" t="s">
        <v>45</v>
      </c>
    </row>
    <row r="58" spans="2:32" ht="16.3" thickBot="1" x14ac:dyDescent="0.25">
      <c r="F58" s="24" t="str">
        <f>D13</f>
        <v>Water</v>
      </c>
      <c r="H58" s="24" t="s">
        <v>49</v>
      </c>
      <c r="J58" s="7" t="s">
        <v>59</v>
      </c>
      <c r="L58" s="237" t="s">
        <v>547</v>
      </c>
      <c r="X58" s="111"/>
      <c r="Z58" s="111"/>
      <c r="AA58" s="123" t="s">
        <v>45</v>
      </c>
      <c r="AB58" s="117">
        <f>('Ionosolv (TAD)'!D12+'Ionosolv (TAD)'!D13)*L_yield_in_precipitation_step</f>
        <v>13.990672689285711</v>
      </c>
      <c r="AF58" s="53">
        <f>AB58</f>
        <v>13.990672689285711</v>
      </c>
    </row>
    <row r="59" spans="2:32" ht="16.3" thickBot="1" x14ac:dyDescent="0.25">
      <c r="D59" s="138">
        <f>SUM(D52:D55)*9.81*D60/(D61 * 100000)</f>
        <v>35.340525</v>
      </c>
      <c r="F59" s="51">
        <f>4*'Ionosolv (TAD)'!B25*'Balances (TAD)'!D55*IF(F58="Ethanol",ρEtOH,0)/ScaleUPRF</f>
        <v>0</v>
      </c>
      <c r="G59" s="116" t="s">
        <v>384</v>
      </c>
      <c r="H59" s="117">
        <f>SUM('Ionosolv (TAD)'!C10:C16)</f>
        <v>40.888559494394386</v>
      </c>
      <c r="L59" s="238"/>
      <c r="N59" s="24" t="s">
        <v>383</v>
      </c>
      <c r="R59" s="24" t="s">
        <v>61</v>
      </c>
      <c r="AA59" s="123" t="s">
        <v>10</v>
      </c>
      <c r="AB59" s="51">
        <f>X55*0.1</f>
        <v>510.90000000000003</v>
      </c>
    </row>
    <row r="60" spans="2:32" x14ac:dyDescent="0.2">
      <c r="C60" s="4" t="s">
        <v>522</v>
      </c>
      <c r="D60" s="114">
        <v>150</v>
      </c>
      <c r="F60" s="138">
        <f>1000*F59*9.81*30/(3.6*10^6)</f>
        <v>0</v>
      </c>
      <c r="J60" s="9"/>
      <c r="L60" s="22">
        <f>IF(J62="Ethanol",J63*841/1000,0)</f>
        <v>0</v>
      </c>
      <c r="N60" s="117">
        <f>H59*0.95</f>
        <v>38.844131519674661</v>
      </c>
      <c r="O60" s="9"/>
      <c r="R60" s="27">
        <f>N60</f>
        <v>38.844131519674661</v>
      </c>
      <c r="X60" s="138">
        <f>SUM(X53:X56)*9.81*10/(0.6 * 100000)</f>
        <v>9.9953596804653326</v>
      </c>
      <c r="AD60" s="24" t="s">
        <v>10</v>
      </c>
    </row>
    <row r="61" spans="2:32" x14ac:dyDescent="0.2">
      <c r="C61" s="4" t="s">
        <v>523</v>
      </c>
      <c r="D61" s="4">
        <v>0.6</v>
      </c>
      <c r="N61" s="111"/>
      <c r="Z61" s="24" t="s">
        <v>200</v>
      </c>
      <c r="AD61" s="51">
        <f>AB59</f>
        <v>510.90000000000003</v>
      </c>
    </row>
    <row r="62" spans="2:32" x14ac:dyDescent="0.2">
      <c r="F62" s="114"/>
      <c r="J62" s="24" t="str">
        <f>D13</f>
        <v>Water</v>
      </c>
      <c r="R62" s="24" t="s">
        <v>200</v>
      </c>
      <c r="Z62" s="27">
        <f>0.005*T56</f>
        <v>0.30584917573495995</v>
      </c>
      <c r="AD62" s="114"/>
    </row>
    <row r="63" spans="2:32" ht="16.3" thickBot="1" x14ac:dyDescent="0.25">
      <c r="H63" s="24" t="s">
        <v>177</v>
      </c>
      <c r="J63" s="51">
        <f>'Ionosolv (TAD)'!B27*'Balances (TAD)'!D55*IF(F58="Ethanol",ρEtOH,ρWater)/ScaleUPRF</f>
        <v>3275</v>
      </c>
      <c r="P63" s="118"/>
      <c r="Q63" s="118"/>
      <c r="R63" s="27">
        <f>0.005*R60</f>
        <v>0.19422065759837331</v>
      </c>
      <c r="V63" s="111"/>
      <c r="W63" s="111"/>
    </row>
    <row r="64" spans="2:32" ht="16.3" thickBot="1" x14ac:dyDescent="0.25">
      <c r="H64" s="122">
        <f>Protein_in_pulp_ionosolv</f>
        <v>22.440076749999999</v>
      </c>
      <c r="J64" s="16" t="s">
        <v>404</v>
      </c>
      <c r="P64" s="40" t="s">
        <v>137</v>
      </c>
      <c r="Q64" s="124"/>
      <c r="Z64" s="52" t="s">
        <v>201</v>
      </c>
    </row>
    <row r="65" spans="18:26" x14ac:dyDescent="0.2">
      <c r="R65" s="52" t="s">
        <v>201</v>
      </c>
      <c r="W65" s="126"/>
      <c r="Z65" s="27">
        <f>T56*0.001</f>
        <v>6.1169835146991994E-2</v>
      </c>
    </row>
    <row r="66" spans="18:26" x14ac:dyDescent="0.2">
      <c r="R66" s="27">
        <f>SUM(R60,R63)*0.001</f>
        <v>3.9038352177273035E-2</v>
      </c>
      <c r="W66" s="111"/>
    </row>
    <row r="67" spans="18:26" ht="16.3" thickBot="1" x14ac:dyDescent="0.25">
      <c r="Z67" s="24" t="s">
        <v>202</v>
      </c>
    </row>
    <row r="68" spans="18:26" ht="16.3" thickBot="1" x14ac:dyDescent="0.25">
      <c r="R68" s="24" t="s">
        <v>202</v>
      </c>
      <c r="S68" s="24" t="s">
        <v>61</v>
      </c>
      <c r="Z68" s="53">
        <f>0.4*T56</f>
        <v>24.4679340587968</v>
      </c>
    </row>
    <row r="69" spans="18:26" ht="16.3" thickBot="1" x14ac:dyDescent="0.25">
      <c r="R69" s="53">
        <f>0.4*R60</f>
        <v>15.537652607869866</v>
      </c>
      <c r="S69" s="53">
        <f>R60-R69</f>
        <v>23.306478911804795</v>
      </c>
      <c r="V69" s="111"/>
      <c r="W69" s="111"/>
    </row>
  </sheetData>
  <mergeCells count="20">
    <mergeCell ref="L58:L59"/>
    <mergeCell ref="F9:G9"/>
    <mergeCell ref="B11:E11"/>
    <mergeCell ref="B12:C12"/>
    <mergeCell ref="B13:C13"/>
    <mergeCell ref="F10:G10"/>
    <mergeCell ref="F12:G12"/>
    <mergeCell ref="B9:C9"/>
    <mergeCell ref="B10:C10"/>
    <mergeCell ref="A6:A13"/>
    <mergeCell ref="B5:E5"/>
    <mergeCell ref="F5:I5"/>
    <mergeCell ref="F6:I6"/>
    <mergeCell ref="F7:G7"/>
    <mergeCell ref="F11:G11"/>
    <mergeCell ref="F13:G13"/>
    <mergeCell ref="F8:G8"/>
    <mergeCell ref="B7:C7"/>
    <mergeCell ref="B8:C8"/>
    <mergeCell ref="B6:E6"/>
  </mergeCells>
  <pageMargins left="0.7" right="0.7" top="0.75" bottom="0.75" header="0.3" footer="0.3"/>
  <pageSetup paperSize="9" scale="87" orientation="landscape" r:id="rId1"/>
  <rowBreaks count="1" manualBreakCount="1">
    <brk id="70" max="16383" man="1"/>
  </rowBreaks>
  <ignoredErrors>
    <ignoredError sqref="X55" formula="1"/>
  </ignoredErrors>
  <drawing r:id="rId2"/>
  <legacyDrawing r:id="rId3"/>
  <mc:AlternateContent>
    <mc:Choice Requires="x14">
      <controls>
        <mc:AlternateContent>
          <mc:Choice Requires="x14">
            <control shapeId="21536" r:id="rId4" name="Scroll Bar 32">
              <controlPr defaultSize="0" autoPict="0">
                <anchor moveWithCells="1">
                  <from>
                    <xdr:col>4</xdr:col>
                    <xdr:colOff>7951</xdr:colOff>
                    <xdr:row>8</xdr:row>
                    <xdr:rowOff>190831</xdr:rowOff>
                  </from>
                  <to>
                    <xdr:col>4</xdr:col>
                    <xdr:colOff>1144988</xdr:colOff>
                    <xdr:row>9</xdr:row>
                    <xdr:rowOff>190831</xdr:rowOff>
                  </to>
                </anchor>
              </controlPr>
            </control>
          </mc:Choice>
        </mc:AlternateContent>
      </controls>
    </mc:Choice>
  </mc:AlternateContent>
  <extLst>
    <ext uri="{CCE6A557-97BC-4b89-ADB6-D9C93CAAB3DF}">
      <x14:dataValidations xmlns:xm="http://schemas.microsoft.com/office/excel/2006/main" count="3">
        <x14:dataValidation type="list" allowBlank="1" showInputMessage="1" showErrorMessage="1" errorTitle="Not a Valid Roast Type" xr:uid="{00000000-0002-0000-0800-000000000000}">
          <x14:formula1>
            <xm:f>'Coffee Roasting Process (TAD)'!$L$33:$L$35</xm:f>
          </x14:formula1>
          <xm:sqref>D8</xm:sqref>
        </x14:dataValidation>
        <x14:dataValidation type="list" allowBlank="1" showInputMessage="1" showErrorMessage="1" errorTitle="Not a Valid Roast Type" xr:uid="{00000000-0002-0000-0800-000001000000}">
          <x14:formula1>
            <xm:f>'Coffee Roasting Process (TAD)'!$P$33:$P$34</xm:f>
          </x14:formula1>
          <xm:sqref>D13</xm:sqref>
        </x14:dataValidation>
        <x14:dataValidation type="list" allowBlank="1" showInputMessage="1" showErrorMessage="1" xr:uid="{00000000-0002-0000-0800-000002000000}">
          <x14:formula1>
            <xm:f>'Coffee Roasting Process (TAD)'!$Q$33:$Q$34</xm:f>
          </x14:formula1>
          <xm:sqref>R55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L100"/>
  <sheetViews>
    <sheetView topLeftCell="A76" workbookViewId="0">
      <selection activeCell="C6" sqref="C6"/>
    </sheetView>
  </sheetViews>
  <sheetFormatPr defaultColWidth="9.109375" defaultRowHeight="15.65" x14ac:dyDescent="0.3"/>
  <cols>
    <col min="1" max="1" style="1" width="9.109375" collapsed="true"/>
    <col min="2" max="2" customWidth="true" style="1" width="31.6640625" collapsed="true"/>
    <col min="3" max="3" customWidth="true" style="1" width="13.109375" collapsed="true"/>
    <col min="4" max="4" customWidth="true" style="1" width="10.0" collapsed="true"/>
    <col min="5" max="5" customWidth="true" style="1" width="19.6640625" collapsed="true"/>
    <col min="6" max="6" customWidth="true" style="1" width="13.88671875" collapsed="true"/>
    <col min="7" max="8" style="1" width="9.109375" collapsed="true"/>
    <col min="9" max="9" customWidth="true" style="1" width="14.5546875" collapsed="true"/>
    <col min="10" max="16384" style="1" width="9.109375" collapsed="true"/>
  </cols>
  <sheetData>
    <row r="3" spans="2:5" x14ac:dyDescent="0.3">
      <c r="B3" s="46" t="s">
        <v>29</v>
      </c>
      <c r="E3" s="2" t="s">
        <v>419</v>
      </c>
    </row>
    <row r="5" spans="2:5" x14ac:dyDescent="0.3">
      <c r="B5" s="1" t="s">
        <v>159</v>
      </c>
      <c r="C5" s="58">
        <f>((SCG_throughput+Quantity_of_Silverskin_input)*Hours_per_cycle)/1000</f>
        <v>0.52349999999999997</v>
      </c>
      <c r="D5" s="1" t="s">
        <v>160</v>
      </c>
      <c r="E5" s="1" t="s">
        <v>244</v>
      </c>
    </row>
    <row r="6" spans="2:5" x14ac:dyDescent="0.3">
      <c r="B6" s="1" t="s">
        <v>161</v>
      </c>
      <c r="C6" s="1">
        <v>4</v>
      </c>
    </row>
    <row r="7" spans="2:5" x14ac:dyDescent="0.3">
      <c r="B7" s="1" t="s">
        <v>162</v>
      </c>
      <c r="C7" s="1">
        <v>16</v>
      </c>
    </row>
    <row r="8" spans="2:5" x14ac:dyDescent="0.3">
      <c r="B8" s="1" t="s">
        <v>163</v>
      </c>
      <c r="C8" s="1">
        <v>350</v>
      </c>
    </row>
    <row r="9" spans="2:5" x14ac:dyDescent="0.3">
      <c r="B9" s="1" t="s">
        <v>164</v>
      </c>
      <c r="C9" s="1">
        <f>C7*C8</f>
        <v>5600</v>
      </c>
    </row>
    <row r="10" spans="2:5" x14ac:dyDescent="0.3">
      <c r="B10" s="1" t="s">
        <v>165</v>
      </c>
      <c r="C10" s="1">
        <f>C9/C6</f>
        <v>1400</v>
      </c>
    </row>
    <row r="11" spans="2:5" x14ac:dyDescent="0.3">
      <c r="B11" s="1" t="s">
        <v>166</v>
      </c>
      <c r="C11" s="61">
        <f>C10*C5</f>
        <v>732.9</v>
      </c>
      <c r="D11" s="1" t="s">
        <v>157</v>
      </c>
    </row>
    <row r="12" spans="2:5" x14ac:dyDescent="0.3">
      <c r="B12" s="1" t="s">
        <v>158</v>
      </c>
      <c r="C12" s="43">
        <v>0.9</v>
      </c>
      <c r="D12" s="1" t="s">
        <v>51</v>
      </c>
    </row>
    <row r="13" spans="2:5" x14ac:dyDescent="0.3">
      <c r="B13" s="1" t="s">
        <v>167</v>
      </c>
      <c r="C13" s="44">
        <v>100</v>
      </c>
      <c r="D13" s="1" t="s">
        <v>168</v>
      </c>
    </row>
    <row r="14" spans="2:5" x14ac:dyDescent="0.3">
      <c r="B14" s="1" t="s">
        <v>539</v>
      </c>
      <c r="C14" s="162">
        <f>('Balances (TAD)'!D52*4)/1000</f>
        <v>4.1920000000000002</v>
      </c>
      <c r="D14" s="1" t="s">
        <v>246</v>
      </c>
    </row>
    <row r="15" spans="2:5" x14ac:dyDescent="0.3">
      <c r="B15" s="1" t="s">
        <v>536</v>
      </c>
      <c r="C15" s="162">
        <f>((1-C12)*C14)*99</f>
        <v>41.500799999999991</v>
      </c>
      <c r="D15" s="1" t="s">
        <v>246</v>
      </c>
    </row>
    <row r="16" spans="2:5" x14ac:dyDescent="0.3">
      <c r="B16" s="1" t="s">
        <v>537</v>
      </c>
      <c r="C16" s="162">
        <f>SUM(C14,C15)</f>
        <v>45.692799999999991</v>
      </c>
      <c r="D16" s="1" t="s">
        <v>246</v>
      </c>
    </row>
    <row r="17" spans="2:4" x14ac:dyDescent="0.3">
      <c r="B17" s="1" t="s">
        <v>538</v>
      </c>
      <c r="C17" s="54">
        <f>C16*(C10/C13)</f>
        <v>639.69919999999991</v>
      </c>
      <c r="D17" s="1" t="s">
        <v>246</v>
      </c>
    </row>
    <row r="18" spans="2:4" x14ac:dyDescent="0.3">
      <c r="C18" s="44"/>
    </row>
    <row r="19" spans="2:4" x14ac:dyDescent="0.3">
      <c r="B19" s="46" t="s">
        <v>420</v>
      </c>
      <c r="C19" s="44"/>
    </row>
    <row r="20" spans="2:4" x14ac:dyDescent="0.3">
      <c r="B20" s="140" t="s">
        <v>175</v>
      </c>
      <c r="C20" s="141">
        <f>'Balances (TAD)'!S69</f>
        <v>23.306478911804795</v>
      </c>
      <c r="D20" s="1" t="s">
        <v>136</v>
      </c>
    </row>
    <row r="21" spans="2:4" x14ac:dyDescent="0.3">
      <c r="B21" s="140" t="s">
        <v>45</v>
      </c>
      <c r="C21" s="141">
        <f>'Balances (TAD)'!AF58</f>
        <v>13.990672689285711</v>
      </c>
      <c r="D21" s="1" t="s">
        <v>136</v>
      </c>
    </row>
    <row r="22" spans="2:4" x14ac:dyDescent="0.3">
      <c r="B22" s="140" t="s">
        <v>146</v>
      </c>
      <c r="C22" s="141">
        <f>'Balances (TAD)'!O39</f>
        <v>18.75</v>
      </c>
      <c r="D22" s="1" t="s">
        <v>136</v>
      </c>
    </row>
    <row r="23" spans="2:4" x14ac:dyDescent="0.3">
      <c r="B23" s="140" t="s">
        <v>176</v>
      </c>
      <c r="C23" s="141">
        <f>'Balances (TAD)'!P39</f>
        <v>6.5437500000000002</v>
      </c>
      <c r="D23" s="1" t="s">
        <v>136</v>
      </c>
    </row>
    <row r="24" spans="2:4" x14ac:dyDescent="0.3">
      <c r="B24" s="140" t="s">
        <v>177</v>
      </c>
      <c r="C24" s="141">
        <f>'Balances (TAD)'!H64</f>
        <v>22.440076749999999</v>
      </c>
      <c r="D24" s="1" t="s">
        <v>136</v>
      </c>
    </row>
    <row r="25" spans="2:4" x14ac:dyDescent="0.3">
      <c r="B25" s="140" t="s">
        <v>221</v>
      </c>
      <c r="C25" s="141">
        <v>11.4</v>
      </c>
      <c r="D25" s="1" t="s">
        <v>136</v>
      </c>
    </row>
    <row r="26" spans="2:4" x14ac:dyDescent="0.3">
      <c r="B26" s="140" t="s">
        <v>178</v>
      </c>
      <c r="C26" s="141"/>
      <c r="D26" s="1" t="s">
        <v>136</v>
      </c>
    </row>
    <row r="27" spans="2:4" x14ac:dyDescent="0.3">
      <c r="B27" s="140" t="s">
        <v>179</v>
      </c>
      <c r="C27" s="141"/>
      <c r="D27" s="1" t="s">
        <v>136</v>
      </c>
    </row>
    <row r="28" spans="2:4" x14ac:dyDescent="0.3">
      <c r="B28" s="140" t="s">
        <v>204</v>
      </c>
      <c r="C28" s="141">
        <f>'Balances (TAD)'!R69+'Balances (TAD)'!Z68</f>
        <v>40.005586666666666</v>
      </c>
      <c r="D28" s="1" t="s">
        <v>136</v>
      </c>
    </row>
    <row r="29" spans="2:4" x14ac:dyDescent="0.3">
      <c r="C29" s="141"/>
    </row>
    <row r="30" spans="2:4" x14ac:dyDescent="0.3">
      <c r="B30" s="46" t="s">
        <v>421</v>
      </c>
      <c r="C30" s="141"/>
    </row>
    <row r="31" spans="2:4" x14ac:dyDescent="0.3">
      <c r="B31" s="140" t="s">
        <v>175</v>
      </c>
      <c r="C31" s="142">
        <f t="shared" ref="C31:C36" si="0">(C20*SCG_Hours_per_year)/1000</f>
        <v>130.51628190610685</v>
      </c>
      <c r="D31" s="1" t="s">
        <v>157</v>
      </c>
    </row>
    <row r="32" spans="2:4" x14ac:dyDescent="0.3">
      <c r="B32" s="140" t="s">
        <v>45</v>
      </c>
      <c r="C32" s="142">
        <f t="shared" si="0"/>
        <v>78.347767059999981</v>
      </c>
      <c r="D32" s="1" t="s">
        <v>157</v>
      </c>
    </row>
    <row r="33" spans="2:12" x14ac:dyDescent="0.3">
      <c r="B33" s="140" t="s">
        <v>146</v>
      </c>
      <c r="C33" s="142">
        <f t="shared" si="0"/>
        <v>105</v>
      </c>
      <c r="D33" s="1" t="s">
        <v>157</v>
      </c>
    </row>
    <row r="34" spans="2:12" x14ac:dyDescent="0.3">
      <c r="B34" s="140" t="s">
        <v>176</v>
      </c>
      <c r="C34" s="142">
        <f t="shared" si="0"/>
        <v>36.645000000000003</v>
      </c>
      <c r="D34" s="1" t="s">
        <v>157</v>
      </c>
    </row>
    <row r="35" spans="2:12" x14ac:dyDescent="0.3">
      <c r="B35" s="140" t="s">
        <v>177</v>
      </c>
      <c r="C35" s="142">
        <f t="shared" si="0"/>
        <v>125.66442979999999</v>
      </c>
      <c r="D35" s="1" t="s">
        <v>157</v>
      </c>
    </row>
    <row r="36" spans="2:12" x14ac:dyDescent="0.3">
      <c r="B36" s="140" t="s">
        <v>221</v>
      </c>
      <c r="C36" s="142">
        <f t="shared" si="0"/>
        <v>63.84</v>
      </c>
      <c r="D36" s="1" t="s">
        <v>157</v>
      </c>
    </row>
    <row r="37" spans="2:12" x14ac:dyDescent="0.3">
      <c r="B37" s="140" t="s">
        <v>178</v>
      </c>
      <c r="C37" s="142">
        <f t="shared" ref="C37:C39" si="1">(C26*SCG_Hours_per_year)/1000</f>
        <v>0</v>
      </c>
      <c r="D37" s="1" t="s">
        <v>157</v>
      </c>
    </row>
    <row r="38" spans="2:12" x14ac:dyDescent="0.3">
      <c r="B38" s="140" t="s">
        <v>179</v>
      </c>
      <c r="C38" s="142">
        <f t="shared" si="1"/>
        <v>0</v>
      </c>
      <c r="D38" s="1" t="s">
        <v>157</v>
      </c>
    </row>
    <row r="39" spans="2:12" x14ac:dyDescent="0.3">
      <c r="B39" s="140" t="s">
        <v>204</v>
      </c>
      <c r="C39" s="142">
        <f t="shared" si="1"/>
        <v>224.03128533333333</v>
      </c>
      <c r="D39" s="1" t="s">
        <v>157</v>
      </c>
    </row>
    <row r="41" spans="2:12" x14ac:dyDescent="0.3">
      <c r="B41" s="46" t="s">
        <v>150</v>
      </c>
      <c r="E41" s="2" t="s">
        <v>422</v>
      </c>
      <c r="F41" s="143" t="s">
        <v>424</v>
      </c>
      <c r="H41" s="143" t="s">
        <v>425</v>
      </c>
      <c r="J41" s="143" t="s">
        <v>432</v>
      </c>
      <c r="L41" s="1" t="s">
        <v>493</v>
      </c>
    </row>
    <row r="42" spans="2:12" x14ac:dyDescent="0.3">
      <c r="B42" s="2" t="s">
        <v>151</v>
      </c>
      <c r="E42" s="1" t="s">
        <v>423</v>
      </c>
      <c r="F42" s="54">
        <v>118500000</v>
      </c>
      <c r="G42" s="145" t="s">
        <v>155</v>
      </c>
      <c r="H42" s="144">
        <v>770000</v>
      </c>
      <c r="I42" s="1" t="s">
        <v>157</v>
      </c>
    </row>
    <row r="43" spans="2:12" x14ac:dyDescent="0.3">
      <c r="E43" s="1" t="s">
        <v>426</v>
      </c>
      <c r="F43" s="54">
        <f>J43*F42</f>
        <v>118026.00000000001</v>
      </c>
      <c r="G43" s="145" t="s">
        <v>155</v>
      </c>
      <c r="H43" s="1">
        <v>773</v>
      </c>
      <c r="I43" s="1" t="s">
        <v>157</v>
      </c>
      <c r="J43" s="146">
        <f>9.96/10000</f>
        <v>9.9600000000000014E-4</v>
      </c>
      <c r="K43" s="1" t="s">
        <v>427</v>
      </c>
    </row>
    <row r="44" spans="2:12" x14ac:dyDescent="0.3">
      <c r="B44" s="1" t="s">
        <v>153</v>
      </c>
      <c r="C44" s="1">
        <v>500000</v>
      </c>
      <c r="D44" s="1" t="s">
        <v>155</v>
      </c>
      <c r="E44" s="1" t="s">
        <v>512</v>
      </c>
      <c r="F44" s="54">
        <v>158000</v>
      </c>
      <c r="G44" s="145" t="s">
        <v>155</v>
      </c>
      <c r="H44" s="1">
        <v>114</v>
      </c>
      <c r="I44" s="1" t="s">
        <v>157</v>
      </c>
      <c r="J44" s="1" t="s">
        <v>513</v>
      </c>
    </row>
    <row r="45" spans="2:12" x14ac:dyDescent="0.3">
      <c r="E45" s="1" t="s">
        <v>525</v>
      </c>
      <c r="F45" s="55">
        <f>F43*2.5</f>
        <v>295065.00000000006</v>
      </c>
      <c r="G45" s="145" t="s">
        <v>458</v>
      </c>
    </row>
    <row r="46" spans="2:12" x14ac:dyDescent="0.3">
      <c r="B46" s="2" t="s">
        <v>152</v>
      </c>
      <c r="E46" s="1" t="s">
        <v>463</v>
      </c>
    </row>
    <row r="47" spans="2:12" x14ac:dyDescent="0.3">
      <c r="B47" s="2" t="s">
        <v>8</v>
      </c>
    </row>
    <row r="48" spans="2:12" x14ac:dyDescent="0.3">
      <c r="B48" s="1" t="s">
        <v>70</v>
      </c>
      <c r="C48" s="1">
        <v>0</v>
      </c>
      <c r="D48" s="1" t="s">
        <v>155</v>
      </c>
    </row>
    <row r="49" spans="2:12" x14ac:dyDescent="0.3">
      <c r="B49" s="1" t="s">
        <v>154</v>
      </c>
    </row>
    <row r="50" spans="2:12" x14ac:dyDescent="0.3">
      <c r="B50" s="45" t="s">
        <v>170</v>
      </c>
      <c r="C50" s="1">
        <v>1.24</v>
      </c>
      <c r="D50" s="1" t="s">
        <v>156</v>
      </c>
    </row>
    <row r="51" spans="2:12" x14ac:dyDescent="0.3">
      <c r="B51" s="45" t="s">
        <v>169</v>
      </c>
      <c r="C51" s="1">
        <f>C50*1000</f>
        <v>1240</v>
      </c>
      <c r="D51" s="1" t="s">
        <v>171</v>
      </c>
    </row>
    <row r="52" spans="2:12" x14ac:dyDescent="0.3">
      <c r="B52" s="45" t="s">
        <v>172</v>
      </c>
      <c r="C52" s="161">
        <f>(C51/C13)*1.1</f>
        <v>13.640000000000002</v>
      </c>
      <c r="D52" s="1" t="s">
        <v>171</v>
      </c>
      <c r="E52" s="1" t="s">
        <v>255</v>
      </c>
    </row>
    <row r="54" spans="2:12" x14ac:dyDescent="0.3">
      <c r="B54" s="1" t="s">
        <v>208</v>
      </c>
      <c r="C54" s="1">
        <f>1000*0.05</f>
        <v>50</v>
      </c>
      <c r="D54" s="1" t="s">
        <v>171</v>
      </c>
      <c r="E54" s="1" t="s">
        <v>209</v>
      </c>
    </row>
    <row r="55" spans="2:12" x14ac:dyDescent="0.3">
      <c r="B55" s="1" t="s">
        <v>210</v>
      </c>
      <c r="C55" s="1">
        <v>450</v>
      </c>
      <c r="D55" s="1" t="s">
        <v>171</v>
      </c>
      <c r="E55" s="1" t="s">
        <v>215</v>
      </c>
      <c r="L55" s="1" t="s">
        <v>494</v>
      </c>
    </row>
    <row r="56" spans="2:12" x14ac:dyDescent="0.3">
      <c r="B56" s="1" t="s">
        <v>211</v>
      </c>
      <c r="C56" s="1">
        <v>700</v>
      </c>
      <c r="D56" s="1" t="s">
        <v>171</v>
      </c>
      <c r="E56" s="1" t="s">
        <v>215</v>
      </c>
    </row>
    <row r="57" spans="2:12" x14ac:dyDescent="0.3">
      <c r="B57" s="1" t="s">
        <v>135</v>
      </c>
      <c r="C57" s="58">
        <f>28.889*1.647701</f>
        <v>47.600434188999998</v>
      </c>
      <c r="D57" s="1" t="s">
        <v>243</v>
      </c>
      <c r="E57" s="1" t="s">
        <v>498</v>
      </c>
    </row>
    <row r="58" spans="2:12" x14ac:dyDescent="0.3">
      <c r="B58" s="1" t="s">
        <v>489</v>
      </c>
      <c r="C58" s="58">
        <f>96.2*1.647701</f>
        <v>158.50883620000002</v>
      </c>
      <c r="D58" s="1" t="s">
        <v>243</v>
      </c>
      <c r="E58" s="1" t="s">
        <v>495</v>
      </c>
    </row>
    <row r="59" spans="2:12" x14ac:dyDescent="0.3">
      <c r="B59" s="1" t="s">
        <v>212</v>
      </c>
      <c r="C59" s="54">
        <v>200000</v>
      </c>
      <c r="D59" s="1" t="s">
        <v>206</v>
      </c>
      <c r="E59" s="1" t="s">
        <v>217</v>
      </c>
    </row>
    <row r="60" spans="2:12" x14ac:dyDescent="0.3">
      <c r="B60" s="1" t="s">
        <v>219</v>
      </c>
      <c r="C60" s="54">
        <v>60000</v>
      </c>
      <c r="D60" s="1" t="s">
        <v>206</v>
      </c>
      <c r="E60" s="1" t="s">
        <v>218</v>
      </c>
    </row>
    <row r="61" spans="2:12" x14ac:dyDescent="0.3">
      <c r="C61" s="54"/>
    </row>
    <row r="62" spans="2:12" x14ac:dyDescent="0.3">
      <c r="B62" s="2" t="s">
        <v>213</v>
      </c>
      <c r="C62" s="54"/>
    </row>
    <row r="63" spans="2:12" x14ac:dyDescent="0.3">
      <c r="B63" s="1" t="s">
        <v>154</v>
      </c>
      <c r="C63" s="54">
        <f>C52*C17</f>
        <v>8725.4970880000001</v>
      </c>
      <c r="D63" s="1" t="s">
        <v>206</v>
      </c>
    </row>
    <row r="64" spans="2:12" x14ac:dyDescent="0.3">
      <c r="B64" s="1" t="s">
        <v>208</v>
      </c>
      <c r="C64" s="54"/>
    </row>
    <row r="65" spans="2:5" x14ac:dyDescent="0.3">
      <c r="B65" s="1" t="s">
        <v>210</v>
      </c>
      <c r="C65" s="54">
        <f>(('Balances (TAD)'!R63+'Balances (TAD)'!Z62)/1000)*C55*C9</f>
        <v>1260.17598</v>
      </c>
      <c r="D65" s="1" t="s">
        <v>206</v>
      </c>
    </row>
    <row r="66" spans="2:5" x14ac:dyDescent="0.3">
      <c r="B66" s="1" t="s">
        <v>211</v>
      </c>
      <c r="C66" s="54">
        <f>(('Balances (TAD)'!R66+'Balances (TAD)'!Z65)/1000)*'P&amp;L Assumptions (TAD)'!C56*'P&amp;L Assumptions (TAD)'!C9</f>
        <v>392.81609431111895</v>
      </c>
      <c r="D66" s="1" t="s">
        <v>206</v>
      </c>
    </row>
    <row r="67" spans="2:5" x14ac:dyDescent="0.3">
      <c r="B67" s="1" t="s">
        <v>212</v>
      </c>
      <c r="C67" s="54">
        <f>C59</f>
        <v>200000</v>
      </c>
      <c r="D67" s="1" t="s">
        <v>206</v>
      </c>
    </row>
    <row r="68" spans="2:5" x14ac:dyDescent="0.3">
      <c r="B68" s="1" t="s">
        <v>256</v>
      </c>
      <c r="C68" s="54">
        <f>C60</f>
        <v>60000</v>
      </c>
    </row>
    <row r="69" spans="2:5" x14ac:dyDescent="0.3">
      <c r="B69" s="1" t="s">
        <v>134</v>
      </c>
      <c r="C69" s="54">
        <v>60000</v>
      </c>
      <c r="D69" s="1" t="s">
        <v>206</v>
      </c>
    </row>
    <row r="70" spans="2:5" x14ac:dyDescent="0.3">
      <c r="B70" s="1" t="s">
        <v>214</v>
      </c>
      <c r="C70" s="54">
        <f>'On-Site Feasibility'!C49</f>
        <v>49118.86941246863</v>
      </c>
      <c r="D70" s="1" t="s">
        <v>206</v>
      </c>
    </row>
    <row r="71" spans="2:5" x14ac:dyDescent="0.3">
      <c r="B71" s="1" t="s">
        <v>253</v>
      </c>
      <c r="C71" s="54">
        <f>'On-Site Feasibility'!C38*'P&amp;L Assumptions (TAD)'!C57</f>
        <v>75886.897926754653</v>
      </c>
      <c r="D71" s="1" t="s">
        <v>206</v>
      </c>
      <c r="E71" s="1" t="s">
        <v>505</v>
      </c>
    </row>
    <row r="72" spans="2:5" x14ac:dyDescent="0.3">
      <c r="B72" s="140" t="s">
        <v>484</v>
      </c>
      <c r="C72" s="54">
        <f>(((('Coffee Roasting Process (TAD)'!B16/1000)/MJ_kWh)*RD*AnnualRoastHours)/1000)*C57</f>
        <v>979.00614324794947</v>
      </c>
      <c r="D72" s="1" t="s">
        <v>206</v>
      </c>
    </row>
    <row r="73" spans="2:5" x14ac:dyDescent="0.3">
      <c r="B73" s="17"/>
      <c r="C73" s="54"/>
    </row>
    <row r="74" spans="2:5" x14ac:dyDescent="0.3">
      <c r="B74" s="1" t="s">
        <v>191</v>
      </c>
      <c r="C74" s="54">
        <f>SUM(C63:C71)</f>
        <v>455384.25650153443</v>
      </c>
      <c r="D74" s="1" t="s">
        <v>206</v>
      </c>
    </row>
    <row r="75" spans="2:5" x14ac:dyDescent="0.3">
      <c r="C75" s="54"/>
    </row>
    <row r="77" spans="2:5" x14ac:dyDescent="0.3">
      <c r="B77" s="46" t="s">
        <v>173</v>
      </c>
      <c r="E77" s="59" t="s">
        <v>254</v>
      </c>
    </row>
    <row r="78" spans="2:5" x14ac:dyDescent="0.3">
      <c r="B78" s="1" t="s">
        <v>174</v>
      </c>
    </row>
    <row r="79" spans="2:5" x14ac:dyDescent="0.3">
      <c r="B79" s="45" t="s">
        <v>175</v>
      </c>
      <c r="C79" s="1">
        <v>240</v>
      </c>
      <c r="D79" s="1" t="s">
        <v>171</v>
      </c>
      <c r="E79" s="3" t="s">
        <v>507</v>
      </c>
    </row>
    <row r="80" spans="2:5" x14ac:dyDescent="0.3">
      <c r="B80" s="45" t="s">
        <v>45</v>
      </c>
      <c r="C80" s="1">
        <v>130</v>
      </c>
      <c r="D80" s="1" t="s">
        <v>171</v>
      </c>
      <c r="E80" s="3" t="s">
        <v>507</v>
      </c>
    </row>
    <row r="81" spans="2:5" x14ac:dyDescent="0.3">
      <c r="B81" s="45" t="s">
        <v>146</v>
      </c>
      <c r="C81" s="1">
        <v>1000</v>
      </c>
      <c r="D81" s="1" t="s">
        <v>171</v>
      </c>
      <c r="E81" s="3" t="s">
        <v>507</v>
      </c>
    </row>
    <row r="82" spans="2:5" x14ac:dyDescent="0.3">
      <c r="B82" s="45" t="s">
        <v>176</v>
      </c>
      <c r="C82" s="1">
        <v>600</v>
      </c>
      <c r="D82" s="1" t="s">
        <v>171</v>
      </c>
      <c r="E82" s="3" t="s">
        <v>507</v>
      </c>
    </row>
    <row r="83" spans="2:5" x14ac:dyDescent="0.3">
      <c r="B83" s="45" t="s">
        <v>177</v>
      </c>
      <c r="C83" s="1">
        <v>1000</v>
      </c>
      <c r="D83" s="1" t="s">
        <v>171</v>
      </c>
      <c r="E83" s="1" t="s">
        <v>506</v>
      </c>
    </row>
    <row r="84" spans="2:5" x14ac:dyDescent="0.3">
      <c r="B84" s="45" t="s">
        <v>178</v>
      </c>
      <c r="D84" s="1" t="s">
        <v>171</v>
      </c>
    </row>
    <row r="85" spans="2:5" x14ac:dyDescent="0.3">
      <c r="B85" s="45" t="s">
        <v>179</v>
      </c>
      <c r="D85" s="1" t="s">
        <v>171</v>
      </c>
    </row>
    <row r="86" spans="2:5" x14ac:dyDescent="0.3">
      <c r="B86" s="45" t="s">
        <v>204</v>
      </c>
      <c r="C86" s="1">
        <v>3000</v>
      </c>
      <c r="D86" s="1" t="s">
        <v>171</v>
      </c>
      <c r="E86" s="1" t="s">
        <v>506</v>
      </c>
    </row>
    <row r="88" spans="2:5" x14ac:dyDescent="0.3">
      <c r="B88" s="1" t="s">
        <v>205</v>
      </c>
    </row>
    <row r="89" spans="2:5" x14ac:dyDescent="0.3">
      <c r="B89" s="45" t="s">
        <v>175</v>
      </c>
      <c r="C89" s="54">
        <f>Cellulose_pulp_price*C31</f>
        <v>31323.907657465646</v>
      </c>
      <c r="D89" s="1" t="s">
        <v>206</v>
      </c>
    </row>
    <row r="90" spans="2:5" x14ac:dyDescent="0.3">
      <c r="B90" s="45" t="s">
        <v>45</v>
      </c>
      <c r="C90" s="54">
        <f>Lignin_price*C32</f>
        <v>10185.209717799997</v>
      </c>
      <c r="D90" s="1" t="s">
        <v>206</v>
      </c>
    </row>
    <row r="91" spans="2:5" x14ac:dyDescent="0.3">
      <c r="B91" s="45" t="s">
        <v>146</v>
      </c>
      <c r="C91" s="54">
        <f>Furfural_price*C33</f>
        <v>105000</v>
      </c>
      <c r="D91" s="1" t="s">
        <v>206</v>
      </c>
    </row>
    <row r="92" spans="2:5" x14ac:dyDescent="0.3">
      <c r="B92" s="45" t="s">
        <v>176</v>
      </c>
      <c r="C92" s="54">
        <f>Acetic_acid_price*C34</f>
        <v>21987.000000000004</v>
      </c>
      <c r="D92" s="1" t="s">
        <v>206</v>
      </c>
    </row>
    <row r="93" spans="2:5" x14ac:dyDescent="0.3">
      <c r="B93" s="45" t="s">
        <v>177</v>
      </c>
      <c r="C93" s="54">
        <f>Proteins_price*C35</f>
        <v>125664.4298</v>
      </c>
      <c r="D93" s="1" t="s">
        <v>206</v>
      </c>
    </row>
    <row r="94" spans="2:5" x14ac:dyDescent="0.3">
      <c r="B94" s="45" t="s">
        <v>178</v>
      </c>
      <c r="C94" s="54">
        <f>C84*C37</f>
        <v>0</v>
      </c>
      <c r="D94" s="1" t="s">
        <v>206</v>
      </c>
    </row>
    <row r="95" spans="2:5" x14ac:dyDescent="0.3">
      <c r="B95" s="45" t="s">
        <v>179</v>
      </c>
      <c r="C95" s="54">
        <f>C85*C38</f>
        <v>0</v>
      </c>
      <c r="D95" s="1" t="s">
        <v>206</v>
      </c>
    </row>
    <row r="96" spans="2:5" x14ac:dyDescent="0.3">
      <c r="B96" s="45" t="s">
        <v>204</v>
      </c>
      <c r="C96" s="54">
        <f>CMC_price*C39</f>
        <v>672093.85600000003</v>
      </c>
      <c r="D96" s="1" t="s">
        <v>206</v>
      </c>
    </row>
    <row r="98" spans="2:5" x14ac:dyDescent="0.3">
      <c r="B98" s="1" t="s">
        <v>191</v>
      </c>
      <c r="C98" s="55">
        <f>SUM(C89:C96)</f>
        <v>966254.40317526564</v>
      </c>
      <c r="D98" s="1" t="s">
        <v>206</v>
      </c>
    </row>
    <row r="100" spans="2:5" x14ac:dyDescent="0.3">
      <c r="B100" s="1" t="s">
        <v>207</v>
      </c>
      <c r="C100" s="54">
        <f>12000*0.5*12*250</f>
        <v>18000000</v>
      </c>
      <c r="D100" s="1" t="s">
        <v>206</v>
      </c>
      <c r="E100" s="1" t="s">
        <v>216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B2:Q22"/>
  <sheetViews>
    <sheetView workbookViewId="0">
      <selection activeCell="C4" sqref="C4"/>
    </sheetView>
  </sheetViews>
  <sheetFormatPr defaultColWidth="9.109375" defaultRowHeight="15.65" x14ac:dyDescent="0.2"/>
  <cols>
    <col min="1" max="1" style="3" width="9.109375" collapsed="true"/>
    <col min="2" max="2" customWidth="true" style="3" width="21.109375" collapsed="true"/>
    <col min="3" max="3" bestFit="true" customWidth="true" style="3" width="15.0" collapsed="true"/>
    <col min="4" max="4" customWidth="true" style="3" width="11.44140625" collapsed="true"/>
    <col min="5" max="5" customWidth="true" style="3" width="12.33203125" collapsed="true"/>
    <col min="6" max="6" customWidth="true" style="3" width="11.5546875" collapsed="true"/>
    <col min="7" max="7" customWidth="true" style="3" width="11.44140625" collapsed="true"/>
    <col min="8" max="8" customWidth="true" style="3" width="11.109375" collapsed="true"/>
    <col min="9" max="12" bestFit="true" customWidth="true" style="3" width="11.44140625" collapsed="true"/>
    <col min="13" max="14" style="3" width="9.109375" collapsed="true"/>
    <col min="15" max="15" customWidth="true" style="3" width="28.6640625" collapsed="true"/>
    <col min="16" max="16" bestFit="true" customWidth="true" style="3" width="14.5546875" collapsed="true"/>
    <col min="17" max="16384" style="3" width="9.109375" collapsed="true"/>
  </cols>
  <sheetData>
    <row r="2" spans="2:17" x14ac:dyDescent="0.2">
      <c r="C2" s="5" t="s">
        <v>233</v>
      </c>
      <c r="O2" s="5"/>
      <c r="Q2" s="20"/>
    </row>
    <row r="3" spans="2:17" x14ac:dyDescent="0.2">
      <c r="B3" s="28" t="s">
        <v>234</v>
      </c>
      <c r="C3" s="28">
        <v>1</v>
      </c>
      <c r="D3" s="28">
        <v>2</v>
      </c>
      <c r="E3" s="28">
        <v>3</v>
      </c>
      <c r="F3" s="28">
        <v>4</v>
      </c>
      <c r="G3" s="28">
        <v>5</v>
      </c>
      <c r="H3" s="28">
        <v>6</v>
      </c>
      <c r="I3" s="28">
        <v>7</v>
      </c>
      <c r="J3" s="28">
        <v>8</v>
      </c>
      <c r="K3" s="28">
        <v>9</v>
      </c>
      <c r="L3" s="28">
        <v>10</v>
      </c>
      <c r="M3" s="28"/>
    </row>
    <row r="4" spans="2:17" x14ac:dyDescent="0.2">
      <c r="B4" s="29" t="s">
        <v>151</v>
      </c>
      <c r="C4" s="56">
        <f>'P&amp;L Assumptions (TAD)'!F44*(733/114)*1.5</f>
        <v>1523868.4210526315</v>
      </c>
      <c r="D4" s="56"/>
      <c r="E4" s="56"/>
      <c r="F4" s="56"/>
      <c r="G4" s="56"/>
      <c r="H4" s="56"/>
      <c r="I4" s="56"/>
      <c r="J4" s="56"/>
      <c r="K4" s="56"/>
      <c r="L4" s="56"/>
      <c r="M4" s="56"/>
    </row>
    <row r="5" spans="2:17" x14ac:dyDescent="0.2">
      <c r="B5" s="28"/>
      <c r="C5" s="56"/>
      <c r="D5" s="56"/>
      <c r="E5" s="56"/>
      <c r="F5" s="56"/>
      <c r="G5" s="56"/>
      <c r="H5" s="56"/>
      <c r="I5" s="56"/>
      <c r="J5" s="56"/>
      <c r="K5" s="56"/>
      <c r="L5" s="56"/>
      <c r="M5" s="56"/>
      <c r="P5" s="20"/>
    </row>
    <row r="6" spans="2:17" x14ac:dyDescent="0.2">
      <c r="B6" s="29" t="s">
        <v>152</v>
      </c>
      <c r="C6" s="56">
        <f>'P&amp;L Assumptions (TAD)'!$C$74</f>
        <v>455384.25650153443</v>
      </c>
      <c r="D6" s="56">
        <f>'P&amp;L Assumptions (TAD)'!$C$74</f>
        <v>455384.25650153443</v>
      </c>
      <c r="E6" s="56">
        <f>'P&amp;L Assumptions (TAD)'!$C$74</f>
        <v>455384.25650153443</v>
      </c>
      <c r="F6" s="56">
        <f>'P&amp;L Assumptions (TAD)'!$C$74</f>
        <v>455384.25650153443</v>
      </c>
      <c r="G6" s="56">
        <f>'P&amp;L Assumptions (TAD)'!$C$74</f>
        <v>455384.25650153443</v>
      </c>
      <c r="H6" s="56">
        <f>'P&amp;L Assumptions (TAD)'!$C$74</f>
        <v>455384.25650153443</v>
      </c>
      <c r="I6" s="56">
        <f>'P&amp;L Assumptions (TAD)'!$C$74</f>
        <v>455384.25650153443</v>
      </c>
      <c r="J6" s="56">
        <f>'P&amp;L Assumptions (TAD)'!$C$74</f>
        <v>455384.25650153443</v>
      </c>
      <c r="K6" s="56">
        <f>'P&amp;L Assumptions (TAD)'!$C$74</f>
        <v>455384.25650153443</v>
      </c>
      <c r="L6" s="56">
        <f>'P&amp;L Assumptions (TAD)'!$C$74</f>
        <v>455384.25650153443</v>
      </c>
      <c r="M6" s="56"/>
      <c r="P6" s="65"/>
    </row>
    <row r="7" spans="2:17" x14ac:dyDescent="0.2">
      <c r="B7" s="28"/>
      <c r="C7" s="56"/>
      <c r="D7" s="56"/>
      <c r="E7" s="56"/>
      <c r="F7" s="56"/>
      <c r="G7" s="56"/>
      <c r="H7" s="56"/>
      <c r="I7" s="56"/>
      <c r="J7" s="56"/>
      <c r="K7" s="56"/>
      <c r="L7" s="56"/>
      <c r="M7" s="56"/>
    </row>
    <row r="8" spans="2:17" x14ac:dyDescent="0.2">
      <c r="B8" s="29" t="s">
        <v>229</v>
      </c>
      <c r="C8" s="56">
        <f>SUM(C6,C4)</f>
        <v>1979252.6775541659</v>
      </c>
      <c r="D8" s="56">
        <f t="shared" ref="D8:L8" si="0">SUM(D6,D4)</f>
        <v>455384.25650153443</v>
      </c>
      <c r="E8" s="56">
        <f t="shared" si="0"/>
        <v>455384.25650153443</v>
      </c>
      <c r="F8" s="56">
        <f t="shared" si="0"/>
        <v>455384.25650153443</v>
      </c>
      <c r="G8" s="56">
        <f t="shared" si="0"/>
        <v>455384.25650153443</v>
      </c>
      <c r="H8" s="56">
        <f t="shared" si="0"/>
        <v>455384.25650153443</v>
      </c>
      <c r="I8" s="56">
        <f t="shared" si="0"/>
        <v>455384.25650153443</v>
      </c>
      <c r="J8" s="56">
        <f t="shared" si="0"/>
        <v>455384.25650153443</v>
      </c>
      <c r="K8" s="56">
        <f t="shared" si="0"/>
        <v>455384.25650153443</v>
      </c>
      <c r="L8" s="56">
        <f t="shared" si="0"/>
        <v>455384.25650153443</v>
      </c>
      <c r="M8" s="56"/>
      <c r="P8" s="66"/>
    </row>
    <row r="9" spans="2:17" x14ac:dyDescent="0.2">
      <c r="B9" s="28"/>
      <c r="C9" s="56"/>
      <c r="D9" s="56"/>
      <c r="E9" s="56"/>
      <c r="F9" s="56"/>
      <c r="G9" s="56"/>
      <c r="H9" s="56"/>
      <c r="I9" s="56"/>
      <c r="J9" s="56"/>
      <c r="K9" s="56"/>
      <c r="L9" s="56"/>
      <c r="M9" s="56"/>
      <c r="P9" s="69"/>
    </row>
    <row r="10" spans="2:17" x14ac:dyDescent="0.2">
      <c r="B10" s="29" t="s">
        <v>228</v>
      </c>
      <c r="C10" s="56">
        <f>'P&amp;L Assumptions (TAD)'!$C$98</f>
        <v>966254.40317526564</v>
      </c>
      <c r="D10" s="56">
        <f>'P&amp;L Assumptions (TAD)'!$C$98</f>
        <v>966254.40317526564</v>
      </c>
      <c r="E10" s="56">
        <f>'P&amp;L Assumptions (TAD)'!$C$98</f>
        <v>966254.40317526564</v>
      </c>
      <c r="F10" s="56">
        <f>'P&amp;L Assumptions (TAD)'!$C$98</f>
        <v>966254.40317526564</v>
      </c>
      <c r="G10" s="56">
        <f>'P&amp;L Assumptions (TAD)'!$C$98</f>
        <v>966254.40317526564</v>
      </c>
      <c r="H10" s="56">
        <f>'P&amp;L Assumptions (TAD)'!$C$98</f>
        <v>966254.40317526564</v>
      </c>
      <c r="I10" s="56">
        <f>'P&amp;L Assumptions (TAD)'!$C$98</f>
        <v>966254.40317526564</v>
      </c>
      <c r="J10" s="56">
        <f>'P&amp;L Assumptions (TAD)'!$C$98</f>
        <v>966254.40317526564</v>
      </c>
      <c r="K10" s="56">
        <f>'P&amp;L Assumptions (TAD)'!$C$98</f>
        <v>966254.40317526564</v>
      </c>
      <c r="L10" s="56">
        <f>'P&amp;L Assumptions (TAD)'!$C$98</f>
        <v>966254.40317526564</v>
      </c>
      <c r="M10" s="56"/>
      <c r="P10" s="67"/>
    </row>
    <row r="11" spans="2:17" x14ac:dyDescent="0.2">
      <c r="B11" s="28"/>
      <c r="C11" s="56"/>
      <c r="D11" s="56"/>
      <c r="E11" s="56"/>
      <c r="F11" s="56"/>
      <c r="G11" s="56"/>
      <c r="H11" s="56"/>
      <c r="I11" s="56"/>
      <c r="J11" s="56"/>
      <c r="K11" s="56"/>
      <c r="L11" s="56"/>
      <c r="M11" s="56"/>
      <c r="P11" s="68"/>
    </row>
    <row r="12" spans="2:17" x14ac:dyDescent="0.2">
      <c r="B12" s="29" t="s">
        <v>230</v>
      </c>
      <c r="C12" s="56">
        <f>C10</f>
        <v>966254.40317526564</v>
      </c>
      <c r="D12" s="56">
        <f t="shared" ref="D12:L12" si="1">D10</f>
        <v>966254.40317526564</v>
      </c>
      <c r="E12" s="56">
        <f t="shared" si="1"/>
        <v>966254.40317526564</v>
      </c>
      <c r="F12" s="56">
        <f t="shared" si="1"/>
        <v>966254.40317526564</v>
      </c>
      <c r="G12" s="56">
        <f t="shared" si="1"/>
        <v>966254.40317526564</v>
      </c>
      <c r="H12" s="56">
        <f t="shared" si="1"/>
        <v>966254.40317526564</v>
      </c>
      <c r="I12" s="56">
        <f t="shared" si="1"/>
        <v>966254.40317526564</v>
      </c>
      <c r="J12" s="56">
        <f t="shared" si="1"/>
        <v>966254.40317526564</v>
      </c>
      <c r="K12" s="56">
        <f t="shared" si="1"/>
        <v>966254.40317526564</v>
      </c>
      <c r="L12" s="56">
        <f t="shared" si="1"/>
        <v>966254.40317526564</v>
      </c>
      <c r="M12" s="56"/>
    </row>
    <row r="13" spans="2:17" x14ac:dyDescent="0.2">
      <c r="B13" s="28"/>
      <c r="C13" s="56"/>
      <c r="D13" s="56"/>
      <c r="E13" s="56"/>
      <c r="F13" s="56"/>
      <c r="G13" s="56"/>
      <c r="H13" s="56"/>
      <c r="I13" s="56"/>
      <c r="J13" s="56"/>
      <c r="K13" s="56"/>
      <c r="L13" s="56"/>
      <c r="M13" s="56"/>
      <c r="O13" s="34"/>
    </row>
    <row r="14" spans="2:17" x14ac:dyDescent="0.2">
      <c r="B14" s="29" t="s">
        <v>231</v>
      </c>
      <c r="C14" s="56">
        <f>C12-C8</f>
        <v>-1012998.2743789003</v>
      </c>
      <c r="D14" s="56">
        <f t="shared" ref="D14:L14" si="2">D12-D8</f>
        <v>510870.14667373121</v>
      </c>
      <c r="E14" s="56">
        <f t="shared" si="2"/>
        <v>510870.14667373121</v>
      </c>
      <c r="F14" s="56">
        <f t="shared" si="2"/>
        <v>510870.14667373121</v>
      </c>
      <c r="G14" s="56">
        <f t="shared" si="2"/>
        <v>510870.14667373121</v>
      </c>
      <c r="H14" s="56">
        <f t="shared" si="2"/>
        <v>510870.14667373121</v>
      </c>
      <c r="I14" s="56">
        <f t="shared" si="2"/>
        <v>510870.14667373121</v>
      </c>
      <c r="J14" s="56">
        <f t="shared" si="2"/>
        <v>510870.14667373121</v>
      </c>
      <c r="K14" s="56">
        <f t="shared" si="2"/>
        <v>510870.14667373121</v>
      </c>
      <c r="L14" s="56">
        <f t="shared" si="2"/>
        <v>510870.14667373121</v>
      </c>
      <c r="M14" s="56"/>
    </row>
    <row r="15" spans="2:17" x14ac:dyDescent="0.2">
      <c r="B15" s="28"/>
      <c r="C15" s="56"/>
      <c r="D15" s="56"/>
      <c r="E15" s="56"/>
      <c r="F15" s="56"/>
      <c r="G15" s="56"/>
      <c r="H15" s="56"/>
      <c r="I15" s="56"/>
      <c r="J15" s="56"/>
      <c r="K15" s="56"/>
      <c r="L15" s="56"/>
      <c r="M15" s="56"/>
    </row>
    <row r="16" spans="2:17" x14ac:dyDescent="0.2">
      <c r="B16" s="29" t="s">
        <v>232</v>
      </c>
      <c r="C16" s="56">
        <f>C14</f>
        <v>-1012998.2743789003</v>
      </c>
      <c r="D16" s="56">
        <f>C16+D14</f>
        <v>-502128.12770516908</v>
      </c>
      <c r="E16" s="56">
        <f t="shared" ref="E16:L16" si="3">D16+E14</f>
        <v>8742.0189685621299</v>
      </c>
      <c r="F16" s="56">
        <f t="shared" si="3"/>
        <v>519612.16564229334</v>
      </c>
      <c r="G16" s="56">
        <f t="shared" si="3"/>
        <v>1030482.3123160246</v>
      </c>
      <c r="H16" s="56">
        <f t="shared" si="3"/>
        <v>1541352.4589897557</v>
      </c>
      <c r="I16" s="56">
        <f t="shared" si="3"/>
        <v>2052222.605663487</v>
      </c>
      <c r="J16" s="56">
        <f t="shared" si="3"/>
        <v>2563092.7523372183</v>
      </c>
      <c r="K16" s="56">
        <f t="shared" si="3"/>
        <v>3073962.8990109493</v>
      </c>
      <c r="L16" s="56">
        <f t="shared" si="3"/>
        <v>3584833.0456846803</v>
      </c>
      <c r="M16" s="56"/>
    </row>
    <row r="18" spans="2:3" x14ac:dyDescent="0.2">
      <c r="B18" s="3" t="s">
        <v>508</v>
      </c>
      <c r="C18" s="62">
        <f>NPV(0.08,C14:G14)</f>
        <v>628767.08351532347</v>
      </c>
    </row>
    <row r="19" spans="2:3" x14ac:dyDescent="0.2">
      <c r="B19" s="3" t="s">
        <v>509</v>
      </c>
      <c r="C19" s="62">
        <f>NPV(0.08,C14:L14)</f>
        <v>2016990.9897174537</v>
      </c>
    </row>
    <row r="21" spans="2:3" x14ac:dyDescent="0.2">
      <c r="B21" s="3" t="s">
        <v>510</v>
      </c>
      <c r="C21" s="63">
        <f>IRR(C14:G14)</f>
        <v>0.35448100020327145</v>
      </c>
    </row>
    <row r="22" spans="2:3" x14ac:dyDescent="0.2">
      <c r="B22" s="3" t="s">
        <v>511</v>
      </c>
      <c r="C22" s="63">
        <f>IRR(C14:L14)</f>
        <v>0.49041763715328379</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F124"/>
  <sheetViews>
    <sheetView workbookViewId="0">
      <selection activeCell="F60" sqref="F60"/>
    </sheetView>
  </sheetViews>
  <sheetFormatPr defaultColWidth="9.109375" defaultRowHeight="15.05" x14ac:dyDescent="0.3"/>
  <cols>
    <col min="1" max="1" style="148" width="9.109375" collapsed="true"/>
    <col min="2" max="2" customWidth="true" style="148" width="39.6640625" collapsed="true"/>
    <col min="3" max="3" customWidth="true" style="148" width="13.6640625" collapsed="true"/>
    <col min="4" max="4" style="148" width="9.109375" collapsed="true"/>
    <col min="5" max="5" customWidth="true" style="148" width="21.88671875" collapsed="true"/>
    <col min="6" max="16384" style="148" width="9.109375" collapsed="true"/>
  </cols>
  <sheetData>
    <row r="2" spans="2:5" x14ac:dyDescent="0.3">
      <c r="B2" s="147" t="s">
        <v>428</v>
      </c>
    </row>
    <row r="4" spans="2:5" x14ac:dyDescent="0.3">
      <c r="B4" s="168" t="s">
        <v>479</v>
      </c>
      <c r="C4" s="169"/>
      <c r="D4" s="169"/>
      <c r="E4" s="147" t="s">
        <v>432</v>
      </c>
    </row>
    <row r="5" spans="2:5" x14ac:dyDescent="0.3">
      <c r="B5" s="170" t="s">
        <v>466</v>
      </c>
      <c r="C5" s="169"/>
      <c r="D5" s="169"/>
    </row>
    <row r="6" spans="2:5" x14ac:dyDescent="0.3">
      <c r="B6" s="171" t="s">
        <v>540</v>
      </c>
      <c r="C6" s="169"/>
      <c r="D6" s="169"/>
    </row>
    <row r="7" spans="2:5" x14ac:dyDescent="0.3">
      <c r="B7" s="172" t="s">
        <v>138</v>
      </c>
      <c r="C7" s="173">
        <f>'Balances (TAD)'!D50*'P&amp;L Assumptions (TAD)'!Hours_per_cycle</f>
        <v>9108.0284850000007</v>
      </c>
      <c r="D7" s="174" t="s">
        <v>12</v>
      </c>
      <c r="E7" s="157" t="s">
        <v>504</v>
      </c>
    </row>
    <row r="8" spans="2:5" x14ac:dyDescent="0.3">
      <c r="B8" s="172" t="s">
        <v>541</v>
      </c>
      <c r="C8" s="173">
        <f>('Balances (TAD)'!AD56*'P&amp;L Assumptions (TAD)'!Hours_per_cycle)*0.1</f>
        <v>461.85360000000003</v>
      </c>
      <c r="D8" s="174" t="s">
        <v>12</v>
      </c>
      <c r="E8" s="157"/>
    </row>
    <row r="9" spans="2:5" x14ac:dyDescent="0.3">
      <c r="B9" s="172" t="s">
        <v>542</v>
      </c>
      <c r="C9" s="173">
        <f>('Balances (TAD)'!N47*'P&amp;L Assumptions (TAD)'!Hours_per_cycle)*0.1</f>
        <v>394.35192000000006</v>
      </c>
      <c r="D9" s="174" t="s">
        <v>12</v>
      </c>
      <c r="E9" s="157"/>
    </row>
    <row r="10" spans="2:5" x14ac:dyDescent="0.3">
      <c r="B10" s="171" t="s">
        <v>543</v>
      </c>
      <c r="C10" s="173"/>
      <c r="D10" s="174"/>
      <c r="E10" s="157"/>
    </row>
    <row r="11" spans="2:5" x14ac:dyDescent="0.3">
      <c r="B11" s="172" t="s">
        <v>138</v>
      </c>
      <c r="C11" s="173">
        <f>C7*0.1*3</f>
        <v>2732.4085455000004</v>
      </c>
      <c r="D11" s="174" t="s">
        <v>12</v>
      </c>
      <c r="E11" s="155" t="s">
        <v>469</v>
      </c>
    </row>
    <row r="12" spans="2:5" x14ac:dyDescent="0.3">
      <c r="B12" s="172" t="s">
        <v>541</v>
      </c>
      <c r="C12" s="173">
        <f>('Balances (TAD)'!AD56*'P&amp;L Assumptions (TAD)'!Hours_per_cycle)*0.1*3</f>
        <v>1385.5608000000002</v>
      </c>
      <c r="D12" s="174" t="s">
        <v>12</v>
      </c>
      <c r="E12" s="163" t="s">
        <v>544</v>
      </c>
    </row>
    <row r="13" spans="2:5" x14ac:dyDescent="0.3">
      <c r="B13" s="172" t="s">
        <v>542</v>
      </c>
      <c r="C13" s="173">
        <f>('Balances (TAD)'!N47*'P&amp;L Assumptions (TAD)'!Hours_per_cycle)*0.1*3</f>
        <v>1183.0557600000002</v>
      </c>
      <c r="D13" s="174" t="s">
        <v>12</v>
      </c>
      <c r="E13" s="163" t="s">
        <v>544</v>
      </c>
    </row>
    <row r="14" spans="2:5" x14ac:dyDescent="0.3">
      <c r="B14" s="175" t="s">
        <v>470</v>
      </c>
      <c r="C14" s="169">
        <f>'P&amp;L Assumptions (TAD)'!C7/'P&amp;L Assumptions (TAD)'!Hours_per_cycle</f>
        <v>4</v>
      </c>
      <c r="D14" s="175" t="s">
        <v>168</v>
      </c>
      <c r="E14" s="155" t="s">
        <v>477</v>
      </c>
    </row>
    <row r="15" spans="2:5" x14ac:dyDescent="0.3">
      <c r="B15" s="175" t="s">
        <v>471</v>
      </c>
      <c r="C15" s="169">
        <v>350</v>
      </c>
      <c r="D15" s="175" t="s">
        <v>473</v>
      </c>
      <c r="E15" s="155" t="s">
        <v>476</v>
      </c>
    </row>
    <row r="16" spans="2:5" x14ac:dyDescent="0.3">
      <c r="B16" s="175" t="s">
        <v>472</v>
      </c>
      <c r="C16" s="176">
        <f>(SUM(C7:C9)*C15)/1000</f>
        <v>3487.4819017500008</v>
      </c>
      <c r="D16" s="175" t="s">
        <v>429</v>
      </c>
      <c r="E16" s="155" t="s">
        <v>474</v>
      </c>
    </row>
    <row r="17" spans="2:5" x14ac:dyDescent="0.3">
      <c r="B17" s="170" t="s">
        <v>467</v>
      </c>
      <c r="C17" s="176">
        <f>(SUM(C11:C13)/1000)*C15</f>
        <v>1855.3587869250002</v>
      </c>
      <c r="D17" s="175" t="s">
        <v>429</v>
      </c>
      <c r="E17" s="155" t="s">
        <v>475</v>
      </c>
    </row>
    <row r="18" spans="2:5" x14ac:dyDescent="0.3">
      <c r="B18" s="175" t="s">
        <v>478</v>
      </c>
      <c r="C18" s="177">
        <f>SUM(C16:C17)</f>
        <v>5342.8406886750008</v>
      </c>
      <c r="D18" s="175" t="s">
        <v>429</v>
      </c>
    </row>
    <row r="19" spans="2:5" x14ac:dyDescent="0.3">
      <c r="B19" s="175"/>
      <c r="C19" s="177">
        <f>C18/MJ_kWh</f>
        <v>1484.1224135208336</v>
      </c>
      <c r="D19" s="175" t="s">
        <v>263</v>
      </c>
    </row>
    <row r="20" spans="2:5" x14ac:dyDescent="0.3">
      <c r="B20" s="175" t="s">
        <v>485</v>
      </c>
      <c r="C20" s="177">
        <f>C19*'P&amp;L Assumptions (TAD)'!C57</f>
        <v>70644.871273218276</v>
      </c>
      <c r="D20" s="175" t="s">
        <v>206</v>
      </c>
    </row>
    <row r="21" spans="2:5" x14ac:dyDescent="0.3">
      <c r="B21" s="169"/>
      <c r="C21" s="169"/>
      <c r="D21" s="169"/>
    </row>
    <row r="22" spans="2:5" x14ac:dyDescent="0.3">
      <c r="B22" s="168" t="s">
        <v>486</v>
      </c>
      <c r="C22" s="169"/>
      <c r="D22" s="169"/>
    </row>
    <row r="23" spans="2:5" x14ac:dyDescent="0.3">
      <c r="B23" s="175" t="s">
        <v>487</v>
      </c>
      <c r="C23" s="176">
        <f>(('Coffee Roasting Process (TAD)'!B17/1000)*(Coffee_bean_throughput*1000))/1000</f>
        <v>780.61163418013314</v>
      </c>
      <c r="D23" s="178" t="s">
        <v>429</v>
      </c>
    </row>
    <row r="24" spans="2:5" x14ac:dyDescent="0.3">
      <c r="B24" s="169"/>
      <c r="C24" s="176">
        <f>(('Coffee Roasting Process (TAD)'!B17/1000)*(Coffee_bean_throughput*1000))</f>
        <v>780611.63418013311</v>
      </c>
      <c r="D24" s="175" t="s">
        <v>262</v>
      </c>
    </row>
    <row r="25" spans="2:5" x14ac:dyDescent="0.3">
      <c r="B25" s="169"/>
      <c r="C25" s="173">
        <f>C23/MJ_kWh</f>
        <v>216.83656505003697</v>
      </c>
      <c r="D25" s="175" t="s">
        <v>263</v>
      </c>
    </row>
    <row r="26" spans="2:5" x14ac:dyDescent="0.3">
      <c r="B26" s="175" t="s">
        <v>485</v>
      </c>
      <c r="C26" s="176">
        <f>C25*'P&amp;L Assumptions (TAD)'!C57</f>
        <v>10321.514644433102</v>
      </c>
      <c r="D26" s="175" t="s">
        <v>206</v>
      </c>
    </row>
    <row r="27" spans="2:5" x14ac:dyDescent="0.3">
      <c r="B27" s="169"/>
      <c r="C27" s="169"/>
      <c r="D27" s="169"/>
    </row>
    <row r="28" spans="2:5" x14ac:dyDescent="0.3">
      <c r="B28" s="175" t="s">
        <v>488</v>
      </c>
      <c r="C28" s="177">
        <f>SUM(C20,C26)</f>
        <v>80966.38591765138</v>
      </c>
      <c r="D28" s="175" t="s">
        <v>206</v>
      </c>
    </row>
    <row r="29" spans="2:5" x14ac:dyDescent="0.3">
      <c r="B29" s="169"/>
      <c r="C29" s="169"/>
      <c r="D29" s="169"/>
    </row>
    <row r="30" spans="2:5" x14ac:dyDescent="0.3">
      <c r="B30" s="168" t="s">
        <v>499</v>
      </c>
      <c r="C30" s="169"/>
      <c r="D30" s="169"/>
      <c r="E30" s="156"/>
    </row>
    <row r="31" spans="2:5" x14ac:dyDescent="0.3">
      <c r="B31" s="178" t="s">
        <v>500</v>
      </c>
      <c r="C31" s="173">
        <f>C25</f>
        <v>216.83656505003697</v>
      </c>
      <c r="D31" s="178" t="s">
        <v>263</v>
      </c>
    </row>
    <row r="32" spans="2:5" x14ac:dyDescent="0.3">
      <c r="B32" s="178" t="s">
        <v>501</v>
      </c>
      <c r="C32" s="177">
        <f>C19</f>
        <v>1484.1224135208336</v>
      </c>
      <c r="D32" s="178" t="s">
        <v>263</v>
      </c>
    </row>
    <row r="33" spans="2:6" x14ac:dyDescent="0.3">
      <c r="B33" s="175" t="s">
        <v>480</v>
      </c>
      <c r="C33" s="173">
        <f>'Coffee Roasting Process (TAD)'!B20</f>
        <v>256.1063020927092</v>
      </c>
      <c r="D33" s="175" t="s">
        <v>265</v>
      </c>
    </row>
    <row r="34" spans="2:6" x14ac:dyDescent="0.3">
      <c r="B34" s="175" t="s">
        <v>481</v>
      </c>
      <c r="C34" s="176">
        <f>(C33/1000)*AnnualRoastHours</f>
        <v>384.15945313906377</v>
      </c>
      <c r="D34" s="175" t="s">
        <v>429</v>
      </c>
      <c r="E34" s="156"/>
    </row>
    <row r="35" spans="2:6" x14ac:dyDescent="0.3">
      <c r="B35" s="175"/>
      <c r="C35" s="176">
        <f>C34/MJ_kWh</f>
        <v>106.7109592052955</v>
      </c>
      <c r="D35" s="178" t="s">
        <v>263</v>
      </c>
      <c r="F35" s="151">
        <f>C35/C31</f>
        <v>0.49212622041246129</v>
      </c>
    </row>
    <row r="36" spans="2:6" x14ac:dyDescent="0.3">
      <c r="B36" s="175" t="s">
        <v>482</v>
      </c>
      <c r="C36" s="179">
        <f>C35/C32</f>
        <v>7.1901723357267744E-2</v>
      </c>
      <c r="D36" s="169"/>
    </row>
    <row r="37" spans="2:6" x14ac:dyDescent="0.3">
      <c r="B37" s="175" t="s">
        <v>483</v>
      </c>
      <c r="C37" s="176">
        <f>C38*MJ_kWh</f>
        <v>5739.2928697160705</v>
      </c>
      <c r="D37" s="178" t="s">
        <v>429</v>
      </c>
    </row>
    <row r="38" spans="2:6" x14ac:dyDescent="0.3">
      <c r="B38" s="169"/>
      <c r="C38" s="177">
        <f>C31+(C32-C35)</f>
        <v>1594.2480193655751</v>
      </c>
      <c r="D38" s="175" t="s">
        <v>263</v>
      </c>
    </row>
    <row r="39" spans="2:6" x14ac:dyDescent="0.3">
      <c r="B39" s="178" t="s">
        <v>252</v>
      </c>
      <c r="C39" s="177">
        <f>(C18+C23)-C37</f>
        <v>384.15945313906377</v>
      </c>
      <c r="D39" s="178" t="s">
        <v>429</v>
      </c>
    </row>
    <row r="40" spans="2:6" x14ac:dyDescent="0.3">
      <c r="B40" s="178"/>
      <c r="C40" s="177">
        <f>C39/MJ_kWh</f>
        <v>106.7109592052955</v>
      </c>
      <c r="D40" s="175" t="s">
        <v>263</v>
      </c>
    </row>
    <row r="41" spans="2:6" x14ac:dyDescent="0.3">
      <c r="B41" s="178" t="s">
        <v>503</v>
      </c>
      <c r="C41" s="180">
        <f>C39/(C18+C23)</f>
        <v>6.2735762913549514E-2</v>
      </c>
      <c r="D41" s="169"/>
    </row>
    <row r="42" spans="2:6" x14ac:dyDescent="0.3">
      <c r="B42" s="175" t="s">
        <v>485</v>
      </c>
      <c r="C42" s="177">
        <f>C38*'P&amp;L Assumptions (TAD)'!C57</f>
        <v>75886.897926754653</v>
      </c>
      <c r="D42" s="175" t="s">
        <v>206</v>
      </c>
    </row>
    <row r="43" spans="2:6" x14ac:dyDescent="0.3">
      <c r="B43" s="169"/>
      <c r="C43" s="169"/>
      <c r="D43" s="169"/>
    </row>
    <row r="44" spans="2:6" x14ac:dyDescent="0.3">
      <c r="B44" s="181" t="s">
        <v>502</v>
      </c>
      <c r="C44" s="182">
        <f>C28-C42</f>
        <v>5079.4879908967268</v>
      </c>
      <c r="D44" s="181" t="s">
        <v>206</v>
      </c>
    </row>
    <row r="45" spans="2:6" x14ac:dyDescent="0.3">
      <c r="B45" s="169"/>
      <c r="C45" s="169"/>
      <c r="D45" s="169"/>
    </row>
    <row r="46" spans="2:6" x14ac:dyDescent="0.3">
      <c r="B46" s="168" t="s">
        <v>490</v>
      </c>
      <c r="C46" s="169"/>
      <c r="D46" s="169"/>
    </row>
    <row r="47" spans="2:6" x14ac:dyDescent="0.3">
      <c r="B47" s="175" t="s">
        <v>491</v>
      </c>
      <c r="C47" s="176">
        <f>('Balances (TAD)'!H11/1000)*'P&amp;L Assumptions (TAD)'!SCG_Hours_per_year</f>
        <v>1115.5714351581812</v>
      </c>
      <c r="D47" s="175" t="s">
        <v>429</v>
      </c>
    </row>
    <row r="48" spans="2:6" x14ac:dyDescent="0.3">
      <c r="B48" s="169"/>
      <c r="C48" s="177">
        <f>C47/MJ_kWh</f>
        <v>309.88095421060586</v>
      </c>
      <c r="D48" s="175" t="s">
        <v>263</v>
      </c>
    </row>
    <row r="49" spans="2:6" x14ac:dyDescent="0.3">
      <c r="B49" s="175" t="s">
        <v>492</v>
      </c>
      <c r="C49" s="177">
        <f>C48*'P&amp;L Assumptions (TAD)'!C58</f>
        <v>49118.86941246863</v>
      </c>
      <c r="D49" s="175" t="s">
        <v>206</v>
      </c>
    </row>
    <row r="50" spans="2:6" x14ac:dyDescent="0.3">
      <c r="B50" s="169"/>
      <c r="C50" s="169"/>
      <c r="D50" s="169"/>
    </row>
    <row r="51" spans="2:6" x14ac:dyDescent="0.3">
      <c r="B51" s="168" t="s">
        <v>533</v>
      </c>
      <c r="C51" s="169"/>
      <c r="D51" s="169"/>
    </row>
    <row r="52" spans="2:6" x14ac:dyDescent="0.3">
      <c r="B52" s="175" t="s">
        <v>491</v>
      </c>
      <c r="C52" s="169">
        <f>('Balances (TAD)'!H8*AnnualRoastHours)/1000</f>
        <v>113.39999999999999</v>
      </c>
      <c r="D52" s="175" t="s">
        <v>429</v>
      </c>
    </row>
    <row r="53" spans="2:6" x14ac:dyDescent="0.3">
      <c r="B53" s="169"/>
      <c r="C53" s="169">
        <f>C52/MJ_kWh</f>
        <v>31.499999999999996</v>
      </c>
      <c r="D53" s="175" t="s">
        <v>263</v>
      </c>
    </row>
    <row r="54" spans="2:6" x14ac:dyDescent="0.3">
      <c r="B54" s="183"/>
      <c r="C54" s="169"/>
      <c r="D54" s="175"/>
    </row>
    <row r="55" spans="2:6" x14ac:dyDescent="0.3">
      <c r="B55" s="175" t="s">
        <v>492</v>
      </c>
      <c r="C55" s="176">
        <f>C53*'P&amp;L Assumptions (TAD)'!C58</f>
        <v>4993.0283403000003</v>
      </c>
      <c r="D55" s="175" t="s">
        <v>206</v>
      </c>
    </row>
    <row r="56" spans="2:6" x14ac:dyDescent="0.3">
      <c r="B56" s="155"/>
      <c r="C56" s="149"/>
      <c r="D56" s="155"/>
    </row>
    <row r="57" spans="2:6" x14ac:dyDescent="0.3">
      <c r="B57" s="168" t="s">
        <v>534</v>
      </c>
      <c r="C57" s="169"/>
      <c r="D57" s="169"/>
    </row>
    <row r="58" spans="2:6" x14ac:dyDescent="0.3">
      <c r="B58" s="169" t="s">
        <v>459</v>
      </c>
      <c r="C58" s="176">
        <f>'Balances (TAD)'!H13</f>
        <v>1228.9714351581813</v>
      </c>
      <c r="D58" s="169" t="s">
        <v>429</v>
      </c>
    </row>
    <row r="59" spans="2:6" x14ac:dyDescent="0.3">
      <c r="B59" s="169"/>
      <c r="C59" s="176">
        <f>C58/3.6</f>
        <v>341.38095421060592</v>
      </c>
      <c r="D59" s="184" t="s">
        <v>263</v>
      </c>
      <c r="F59" s="148">
        <f>(C59)/733</f>
        <v>0.46573117900491939</v>
      </c>
    </row>
    <row r="60" spans="2:6" x14ac:dyDescent="0.3">
      <c r="B60" s="169" t="s">
        <v>460</v>
      </c>
      <c r="C60" s="176">
        <f>C37</f>
        <v>5739.2928697160705</v>
      </c>
      <c r="D60" s="169" t="s">
        <v>429</v>
      </c>
    </row>
    <row r="61" spans="2:6" x14ac:dyDescent="0.3">
      <c r="B61" s="169" t="s">
        <v>191</v>
      </c>
      <c r="C61" s="176">
        <f>SUM(C58,C60)</f>
        <v>6968.264304874252</v>
      </c>
      <c r="D61" s="169" t="s">
        <v>429</v>
      </c>
    </row>
    <row r="62" spans="2:6" x14ac:dyDescent="0.3">
      <c r="B62" s="169"/>
      <c r="C62" s="176"/>
      <c r="D62" s="169"/>
    </row>
    <row r="63" spans="2:6" x14ac:dyDescent="0.3">
      <c r="B63" s="181" t="s">
        <v>535</v>
      </c>
      <c r="C63" s="176"/>
      <c r="D63" s="169"/>
    </row>
    <row r="64" spans="2:6" x14ac:dyDescent="0.3">
      <c r="B64" s="169"/>
      <c r="C64" s="176">
        <f>(C47+C52)-C58</f>
        <v>0</v>
      </c>
      <c r="D64" s="169" t="s">
        <v>429</v>
      </c>
    </row>
    <row r="65" spans="2:5" x14ac:dyDescent="0.3">
      <c r="B65" s="169"/>
      <c r="C65" s="176">
        <f>C64/MJ_kWh</f>
        <v>0</v>
      </c>
      <c r="D65" s="184" t="s">
        <v>263</v>
      </c>
    </row>
    <row r="66" spans="2:5" x14ac:dyDescent="0.3">
      <c r="B66" s="169"/>
      <c r="C66" s="176">
        <f>C65*'P&amp;L Assumptions (TAD)'!C58</f>
        <v>0</v>
      </c>
      <c r="D66" s="175" t="s">
        <v>206</v>
      </c>
    </row>
    <row r="67" spans="2:5" x14ac:dyDescent="0.3">
      <c r="C67" s="149"/>
      <c r="D67" s="155"/>
    </row>
    <row r="68" spans="2:5" x14ac:dyDescent="0.3">
      <c r="B68" s="185" t="s">
        <v>514</v>
      </c>
      <c r="C68" s="176"/>
      <c r="D68" s="169"/>
    </row>
    <row r="69" spans="2:5" x14ac:dyDescent="0.3">
      <c r="B69" s="169" t="s">
        <v>430</v>
      </c>
      <c r="C69" s="180">
        <f>C58/C61</f>
        <v>0.17636693750243146</v>
      </c>
      <c r="D69" s="169"/>
    </row>
    <row r="70" spans="2:5" x14ac:dyDescent="0.3">
      <c r="B70" s="169" t="s">
        <v>431</v>
      </c>
      <c r="C70" s="180">
        <f>C60/C61</f>
        <v>0.82363306249756851</v>
      </c>
      <c r="D70" s="169"/>
    </row>
    <row r="71" spans="2:5" x14ac:dyDescent="0.3">
      <c r="B71" s="169"/>
      <c r="C71" s="169"/>
      <c r="D71" s="169"/>
    </row>
    <row r="72" spans="2:5" x14ac:dyDescent="0.3">
      <c r="B72" s="169" t="s">
        <v>433</v>
      </c>
      <c r="C72" s="169">
        <f>'P&amp;L Assumptions (TAD)'!SCG_Hours_per_year</f>
        <v>5600</v>
      </c>
      <c r="D72" s="169"/>
      <c r="E72" s="148" t="s">
        <v>435</v>
      </c>
    </row>
    <row r="74" spans="2:5" x14ac:dyDescent="0.3">
      <c r="B74" s="186" t="s">
        <v>527</v>
      </c>
      <c r="C74" s="187"/>
      <c r="D74" s="187"/>
    </row>
    <row r="75" spans="2:5" x14ac:dyDescent="0.3">
      <c r="B75" s="186" t="s">
        <v>515</v>
      </c>
      <c r="C75" s="187"/>
      <c r="D75" s="187"/>
    </row>
    <row r="76" spans="2:5" x14ac:dyDescent="0.3">
      <c r="B76" s="187" t="s">
        <v>436</v>
      </c>
      <c r="C76" s="187"/>
      <c r="D76" s="187"/>
    </row>
    <row r="77" spans="2:5" x14ac:dyDescent="0.3">
      <c r="B77" s="188" t="s">
        <v>437</v>
      </c>
      <c r="C77" s="189">
        <f>'Balances (TAD)'!D50</f>
        <v>2277.0071212500002</v>
      </c>
      <c r="D77" s="187" t="s">
        <v>265</v>
      </c>
    </row>
    <row r="78" spans="2:5" x14ac:dyDescent="0.3">
      <c r="B78" s="190" t="s">
        <v>541</v>
      </c>
      <c r="C78" s="189">
        <f>'Balances (TAD)'!AD56*0.1</f>
        <v>115.46340000000001</v>
      </c>
      <c r="D78" s="187" t="s">
        <v>265</v>
      </c>
    </row>
    <row r="79" spans="2:5" x14ac:dyDescent="0.3">
      <c r="B79" s="190" t="s">
        <v>542</v>
      </c>
      <c r="C79" s="189">
        <f>'Balances (TAD)'!N47*0.1</f>
        <v>98.587980000000016</v>
      </c>
      <c r="D79" s="187" t="s">
        <v>265</v>
      </c>
    </row>
    <row r="80" spans="2:5" x14ac:dyDescent="0.3">
      <c r="B80" s="188" t="s">
        <v>191</v>
      </c>
      <c r="C80" s="189">
        <f>SUM(C77:C79)</f>
        <v>2491.0585012500005</v>
      </c>
      <c r="D80" s="187" t="s">
        <v>265</v>
      </c>
    </row>
    <row r="81" spans="2:5" x14ac:dyDescent="0.3">
      <c r="B81" s="187"/>
      <c r="C81" s="189">
        <f>C80/3.6</f>
        <v>691.96069479166681</v>
      </c>
      <c r="D81" s="187" t="s">
        <v>451</v>
      </c>
    </row>
    <row r="82" spans="2:5" x14ac:dyDescent="0.3">
      <c r="B82" s="187"/>
      <c r="C82" s="189">
        <f>C81</f>
        <v>691.96069479166681</v>
      </c>
      <c r="D82" s="187" t="s">
        <v>438</v>
      </c>
    </row>
    <row r="83" spans="2:5" x14ac:dyDescent="0.3">
      <c r="B83" s="187"/>
      <c r="C83" s="187"/>
      <c r="D83" s="187"/>
    </row>
    <row r="84" spans="2:5" x14ac:dyDescent="0.3">
      <c r="B84" s="187" t="s">
        <v>440</v>
      </c>
      <c r="C84" s="191">
        <v>0.34</v>
      </c>
      <c r="D84" s="187" t="s">
        <v>51</v>
      </c>
      <c r="E84" s="152" t="s">
        <v>461</v>
      </c>
    </row>
    <row r="85" spans="2:5" x14ac:dyDescent="0.3">
      <c r="B85" s="187" t="s">
        <v>441</v>
      </c>
      <c r="C85" s="189">
        <f>(C84/C91)*C82</f>
        <v>573.82106397357745</v>
      </c>
      <c r="D85" s="187" t="s">
        <v>442</v>
      </c>
    </row>
    <row r="86" spans="2:5" x14ac:dyDescent="0.3">
      <c r="B86" s="192" t="s">
        <v>520</v>
      </c>
      <c r="C86" s="193">
        <f>C59*1000</f>
        <v>341380.95421060594</v>
      </c>
      <c r="D86" s="187" t="s">
        <v>439</v>
      </c>
    </row>
    <row r="87" spans="2:5" x14ac:dyDescent="0.3">
      <c r="B87" s="192" t="s">
        <v>443</v>
      </c>
      <c r="C87" s="194">
        <f>C85*C72</f>
        <v>3213397.9582520337</v>
      </c>
      <c r="D87" s="187" t="s">
        <v>439</v>
      </c>
    </row>
    <row r="88" spans="2:5" x14ac:dyDescent="0.3">
      <c r="B88" s="192" t="s">
        <v>521</v>
      </c>
      <c r="C88" s="194">
        <f>C87-C86</f>
        <v>2872017.0040414277</v>
      </c>
      <c r="D88" s="187" t="s">
        <v>439</v>
      </c>
    </row>
    <row r="89" spans="2:5" x14ac:dyDescent="0.3">
      <c r="B89" s="195" t="s">
        <v>524</v>
      </c>
      <c r="C89" s="196">
        <f>C88/C86</f>
        <v>8.4129385913826145</v>
      </c>
      <c r="D89" s="187"/>
    </row>
    <row r="90" spans="2:5" x14ac:dyDescent="0.3">
      <c r="B90" s="187"/>
      <c r="C90" s="193"/>
      <c r="D90" s="187"/>
    </row>
    <row r="91" spans="2:5" x14ac:dyDescent="0.3">
      <c r="B91" s="187" t="s">
        <v>453</v>
      </c>
      <c r="C91" s="191">
        <v>0.41</v>
      </c>
      <c r="D91" s="187" t="s">
        <v>51</v>
      </c>
      <c r="E91" s="148" t="s">
        <v>452</v>
      </c>
    </row>
    <row r="92" spans="2:5" x14ac:dyDescent="0.3">
      <c r="B92" s="197" t="s">
        <v>462</v>
      </c>
      <c r="C92" s="194">
        <f>C82*(1/C91)</f>
        <v>1687.7090116869922</v>
      </c>
      <c r="D92" s="197" t="s">
        <v>438</v>
      </c>
      <c r="E92" s="152"/>
    </row>
    <row r="93" spans="2:5" x14ac:dyDescent="0.3">
      <c r="B93" s="187" t="s">
        <v>454</v>
      </c>
      <c r="C93" s="193">
        <f>C81*C72</f>
        <v>3874979.8908333341</v>
      </c>
      <c r="D93" s="187" t="s">
        <v>455</v>
      </c>
    </row>
    <row r="94" spans="2:5" x14ac:dyDescent="0.3">
      <c r="B94" s="187"/>
      <c r="C94" s="193">
        <f>C93/1000</f>
        <v>3874.9798908333341</v>
      </c>
      <c r="D94" s="187" t="s">
        <v>456</v>
      </c>
    </row>
    <row r="95" spans="2:5" x14ac:dyDescent="0.3">
      <c r="B95" s="187"/>
      <c r="C95" s="193">
        <f>3.6*(C94*1000)</f>
        <v>13949927.607000003</v>
      </c>
      <c r="D95" s="187" t="s">
        <v>262</v>
      </c>
    </row>
    <row r="96" spans="2:5" x14ac:dyDescent="0.3">
      <c r="B96" s="187"/>
      <c r="C96" s="193">
        <f>C95/1000</f>
        <v>13949.927607000003</v>
      </c>
      <c r="D96" s="187" t="s">
        <v>429</v>
      </c>
    </row>
    <row r="97" spans="2:4" x14ac:dyDescent="0.3">
      <c r="B97" s="187" t="s">
        <v>457</v>
      </c>
      <c r="C97" s="191">
        <f>C96/C60</f>
        <v>2.43060041082903</v>
      </c>
      <c r="D97" s="187" t="s">
        <v>51</v>
      </c>
    </row>
    <row r="98" spans="2:4" x14ac:dyDescent="0.3">
      <c r="B98" s="187"/>
      <c r="C98" s="187"/>
      <c r="D98" s="187"/>
    </row>
    <row r="99" spans="2:4" x14ac:dyDescent="0.3">
      <c r="B99" s="186" t="s">
        <v>516</v>
      </c>
      <c r="C99" s="187"/>
      <c r="D99" s="187"/>
    </row>
    <row r="100" spans="2:4" x14ac:dyDescent="0.3">
      <c r="B100" s="192" t="s">
        <v>517</v>
      </c>
      <c r="C100" s="189">
        <f>SUM('Balances (TAD)'!D19,'Balances (TAD)'!G19,'Balances (TAD)'!C35,'Balances (TAD)'!B57,'Balances (TAD)'!D59,'Balances (TAD)'!F60,'Balances (TAD)'!X60)*1.1</f>
        <v>83.969473148511867</v>
      </c>
      <c r="D100" s="192" t="s">
        <v>442</v>
      </c>
    </row>
    <row r="101" spans="2:4" x14ac:dyDescent="0.3">
      <c r="B101" s="192" t="s">
        <v>520</v>
      </c>
      <c r="C101" s="194">
        <f>C59</f>
        <v>341.38095421060592</v>
      </c>
      <c r="D101" s="192" t="s">
        <v>263</v>
      </c>
    </row>
    <row r="102" spans="2:4" x14ac:dyDescent="0.3">
      <c r="B102" s="192" t="s">
        <v>443</v>
      </c>
      <c r="C102" s="194">
        <f>(C100*C72)/1000</f>
        <v>470.22904963166644</v>
      </c>
      <c r="D102" s="192" t="s">
        <v>263</v>
      </c>
    </row>
    <row r="103" spans="2:4" x14ac:dyDescent="0.3">
      <c r="B103" s="192" t="s">
        <v>521</v>
      </c>
      <c r="C103" s="198">
        <f>C102-C101</f>
        <v>128.84809542106052</v>
      </c>
      <c r="D103" s="192" t="s">
        <v>263</v>
      </c>
    </row>
    <row r="104" spans="2:4" x14ac:dyDescent="0.3">
      <c r="B104" s="192" t="s">
        <v>518</v>
      </c>
      <c r="C104" s="189">
        <f>(C91/C84)*C100</f>
        <v>101.25730585555843</v>
      </c>
      <c r="D104" s="192" t="s">
        <v>438</v>
      </c>
    </row>
    <row r="105" spans="2:4" x14ac:dyDescent="0.3">
      <c r="B105" s="192" t="s">
        <v>454</v>
      </c>
      <c r="C105" s="194">
        <f>C104*C72</f>
        <v>567040.91279112722</v>
      </c>
      <c r="D105" s="192" t="s">
        <v>264</v>
      </c>
    </row>
    <row r="106" spans="2:4" x14ac:dyDescent="0.3">
      <c r="B106" s="187"/>
      <c r="C106" s="194">
        <f>C105/1000</f>
        <v>567.0409127911272</v>
      </c>
      <c r="D106" s="192" t="s">
        <v>263</v>
      </c>
    </row>
    <row r="107" spans="2:4" x14ac:dyDescent="0.3">
      <c r="B107" s="192" t="s">
        <v>519</v>
      </c>
      <c r="C107" s="199">
        <f>C106-C38</f>
        <v>-1027.2071065744481</v>
      </c>
      <c r="D107" s="192" t="s">
        <v>263</v>
      </c>
    </row>
    <row r="108" spans="2:4" x14ac:dyDescent="0.3">
      <c r="B108" s="187" t="s">
        <v>457</v>
      </c>
      <c r="C108" s="191">
        <f>C106/C38</f>
        <v>0.35567923303224735</v>
      </c>
      <c r="D108" s="187"/>
    </row>
    <row r="109" spans="2:4" x14ac:dyDescent="0.3">
      <c r="C109" s="149"/>
    </row>
    <row r="110" spans="2:4" x14ac:dyDescent="0.3">
      <c r="C110" s="149"/>
    </row>
    <row r="111" spans="2:4" x14ac:dyDescent="0.3">
      <c r="B111" s="147" t="s">
        <v>549</v>
      </c>
      <c r="C111" s="149"/>
    </row>
    <row r="112" spans="2:4" x14ac:dyDescent="0.3">
      <c r="B112" s="147" t="s">
        <v>444</v>
      </c>
    </row>
    <row r="114" spans="2:6" x14ac:dyDescent="0.3">
      <c r="B114" s="150" t="s">
        <v>465</v>
      </c>
    </row>
    <row r="115" spans="2:6" x14ac:dyDescent="0.3">
      <c r="B115" s="148" t="s">
        <v>445</v>
      </c>
      <c r="C115" s="148">
        <v>500</v>
      </c>
      <c r="D115" s="148" t="s">
        <v>15</v>
      </c>
      <c r="E115" s="153" t="s">
        <v>450</v>
      </c>
    </row>
    <row r="116" spans="2:6" x14ac:dyDescent="0.3">
      <c r="B116" s="148" t="s">
        <v>446</v>
      </c>
      <c r="C116" s="148">
        <v>8000</v>
      </c>
      <c r="D116" s="148" t="s">
        <v>447</v>
      </c>
    </row>
    <row r="117" spans="2:6" x14ac:dyDescent="0.3">
      <c r="B117" s="153" t="s">
        <v>464</v>
      </c>
      <c r="C117" s="148">
        <v>60</v>
      </c>
      <c r="D117" s="153" t="s">
        <v>15</v>
      </c>
    </row>
    <row r="118" spans="2:6" x14ac:dyDescent="0.3">
      <c r="B118" s="148" t="s">
        <v>448</v>
      </c>
      <c r="C118" s="148">
        <f>C116*C117</f>
        <v>480000</v>
      </c>
      <c r="D118" s="148" t="s">
        <v>263</v>
      </c>
    </row>
    <row r="119" spans="2:6" x14ac:dyDescent="0.3">
      <c r="B119" s="148" t="s">
        <v>449</v>
      </c>
      <c r="C119" s="151">
        <f>(C118*1000)/C86</f>
        <v>1406.053835399021</v>
      </c>
      <c r="D119" s="148" t="s">
        <v>51</v>
      </c>
    </row>
    <row r="121" spans="2:6" ht="15.65" x14ac:dyDescent="0.3">
      <c r="B121" s="2" t="s">
        <v>532</v>
      </c>
      <c r="C121" s="1"/>
      <c r="D121" s="1"/>
      <c r="E121" s="1"/>
      <c r="F121" s="1"/>
    </row>
    <row r="122" spans="2:6" ht="15.65" x14ac:dyDescent="0.3">
      <c r="B122" s="4"/>
      <c r="C122" s="167" t="s">
        <v>526</v>
      </c>
      <c r="D122" s="167" t="s">
        <v>529</v>
      </c>
      <c r="E122" s="167" t="s">
        <v>531</v>
      </c>
      <c r="F122" s="167" t="s">
        <v>530</v>
      </c>
    </row>
    <row r="123" spans="2:6" ht="15.65" x14ac:dyDescent="0.3">
      <c r="B123" s="167" t="s">
        <v>527</v>
      </c>
      <c r="C123" s="4">
        <v>1</v>
      </c>
      <c r="D123" s="4">
        <v>1.2</v>
      </c>
      <c r="E123" s="4">
        <v>1</v>
      </c>
      <c r="F123" s="4">
        <f>SUM(C123:D123)</f>
        <v>2.2000000000000002</v>
      </c>
    </row>
    <row r="124" spans="2:6" ht="15.65" x14ac:dyDescent="0.3">
      <c r="B124" s="167" t="s">
        <v>528</v>
      </c>
      <c r="C124" s="4">
        <v>1</v>
      </c>
      <c r="D124" s="4">
        <v>3.4</v>
      </c>
      <c r="E124" s="4">
        <v>2</v>
      </c>
      <c r="F124" s="4">
        <f>SUM(C124:D124)</f>
        <v>4.4000000000000004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70</vt:i4>
      </vt:variant>
    </vt:vector>
  </HeadingPairs>
  <TitlesOfParts>
    <vt:vector size="79" baseType="lpstr">
      <vt:lpstr>Cover Notes</vt:lpstr>
      <vt:lpstr>Assumptions</vt:lpstr>
      <vt:lpstr>SCG Composition</vt:lpstr>
      <vt:lpstr>Coffee Roasting Process (TAD)</vt:lpstr>
      <vt:lpstr>Ionosolv (TAD)</vt:lpstr>
      <vt:lpstr>Balances (TAD)</vt:lpstr>
      <vt:lpstr>P&amp;L Assumptions (TAD)</vt:lpstr>
      <vt:lpstr>P&amp;L</vt:lpstr>
      <vt:lpstr>On-Site Feasibility</vt:lpstr>
      <vt:lpstr>'P&amp;L Assumptions (TAD)'!Acetic_acid_price</vt:lpstr>
      <vt:lpstr>Acetic_acid_yield</vt:lpstr>
      <vt:lpstr>Air_density</vt:lpstr>
      <vt:lpstr>AnnualRoastHours</vt:lpstr>
      <vt:lpstr>ARD</vt:lpstr>
      <vt:lpstr>Ash_yield_ionosolv</vt:lpstr>
      <vt:lpstr>Biorefinery_hourly_yield</vt:lpstr>
      <vt:lpstr>C_yield_ionosolv</vt:lpstr>
      <vt:lpstr>'P&amp;L Assumptions (TAD)'!Cellulose_pulp_price</vt:lpstr>
      <vt:lpstr>CG</vt:lpstr>
      <vt:lpstr>'P&amp;L Assumptions (TAD)'!CMC_price</vt:lpstr>
      <vt:lpstr>Coffee_bean_cycles_per_hour</vt:lpstr>
      <vt:lpstr>Coffee_bean_throughput</vt:lpstr>
      <vt:lpstr>Coffee_bean_throughput_per_cycle</vt:lpstr>
      <vt:lpstr>Cooling_air_flow_rate</vt:lpstr>
      <vt:lpstr>Cooling_fan_rating</vt:lpstr>
      <vt:lpstr>Cooling_fan_time_on</vt:lpstr>
      <vt:lpstr>Cp__SCG</vt:lpstr>
      <vt:lpstr>Cp_water_105C</vt:lpstr>
      <vt:lpstr>Cp_water_120C</vt:lpstr>
      <vt:lpstr>Cycles_hr</vt:lpstr>
      <vt:lpstr>Cyclone_fan_enthalpy_hr</vt:lpstr>
      <vt:lpstr>Enthalpy_cycle</vt:lpstr>
      <vt:lpstr>EtOHVap40</vt:lpstr>
      <vt:lpstr>EtOHVap78</vt:lpstr>
      <vt:lpstr>'P&amp;L Assumptions (TAD)'!Furfural_price</vt:lpstr>
      <vt:lpstr>Furfural_yield</vt:lpstr>
      <vt:lpstr>H_yield_ionosolv</vt:lpstr>
      <vt:lpstr>'P&amp;L Assumptions (TAD)'!Hours_per_cycle</vt:lpstr>
      <vt:lpstr>IL_quantity_per_hour</vt:lpstr>
      <vt:lpstr>L_yield_in_precipitation_step</vt:lpstr>
      <vt:lpstr>L_yield_ionosolv</vt:lpstr>
      <vt:lpstr>Lignin_insoluble_fraction</vt:lpstr>
      <vt:lpstr>lignin_precip_water_mass</vt:lpstr>
      <vt:lpstr>'P&amp;L Assumptions (TAD)'!Lignin_price</vt:lpstr>
      <vt:lpstr>Lignin_soluble_fraction</vt:lpstr>
      <vt:lpstr>MJ_kWh</vt:lpstr>
      <vt:lpstr>percent_original_lignin</vt:lpstr>
      <vt:lpstr>PminusS</vt:lpstr>
      <vt:lpstr>Protein_in_pulp_ionosolv</vt:lpstr>
      <vt:lpstr>Protein_yield_ionosolv</vt:lpstr>
      <vt:lpstr>'P&amp;L Assumptions (TAD)'!Proteins_price</vt:lpstr>
      <vt:lpstr>PS</vt:lpstr>
      <vt:lpstr>QSR</vt:lpstr>
      <vt:lpstr>Quantity_of_Silverskin_input</vt:lpstr>
      <vt:lpstr>RD</vt:lpstr>
      <vt:lpstr>S</vt:lpstr>
      <vt:lpstr>ScaleUPRF</vt:lpstr>
      <vt:lpstr>SCG_Cellulose_fraction</vt:lpstr>
      <vt:lpstr>SCG_Hemicellulose_fraction</vt:lpstr>
      <vt:lpstr>'P&amp;L Assumptions (TAD)'!SCG_Hours_per_year</vt:lpstr>
      <vt:lpstr>SCG_Lignin_fraction</vt:lpstr>
      <vt:lpstr>SCG_throughput</vt:lpstr>
      <vt:lpstr>Silverskin_throughput</vt:lpstr>
      <vt:lpstr>TA</vt:lpstr>
      <vt:lpstr>TAB</vt:lpstr>
      <vt:lpstr>TB0</vt:lpstr>
      <vt:lpstr>TBF</vt:lpstr>
      <vt:lpstr>TCH</vt:lpstr>
      <vt:lpstr>TF</vt:lpstr>
      <vt:lpstr>TM</vt:lpstr>
      <vt:lpstr>Total_crm_ionosolv</vt:lpstr>
      <vt:lpstr>Total_liquor_ionosolv</vt:lpstr>
      <vt:lpstr>TPE</vt:lpstr>
      <vt:lpstr>X0</vt:lpstr>
      <vt:lpstr>YBF</vt:lpstr>
      <vt:lpstr>ΔHvap</vt:lpstr>
      <vt:lpstr>ρEtOH</vt:lpstr>
      <vt:lpstr>ρTEA</vt:lpstr>
      <vt:lpstr>ρWater</vt:lpstr>
    </vt:vector>
  </TitlesOfParts>
  <Company/>
  <LinksUpToDate>false</LinksUpToDate>
  <SharedDoc>false</SharedDoc>
  <HyperlinksChanged>false</HyperlinksChanged>
  <AppVersion>16.0300</AppVersion>
  <Manager/>
  <Template/>
  <HyperlinkBase/>
</Properties>
</file>

<file path=docProps/core.xml><?xml version="1.0" encoding="utf-8"?>
<cp:coreProperties xmlns:cp="http://schemas.openxmlformats.org/package/2006/metadata/core-properties" xmlns:dc="http://purl.org/dc/elements/1.1/" xmlns:dcterms="http://purl.org/dc/terms/" xmlns:xsi="http://www.w3.org/2001/XMLSchema-instance">
  <cp:lastPrinted>2019-05-17T14:01:02Z</cp:lastPrinted>
</cp:coreProperties>
</file>